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/>
  <mc:AlternateContent xmlns:mc="http://schemas.openxmlformats.org/markup-compatibility/2006">
    <mc:Choice Requires="x15">
      <x15ac:absPath xmlns:x15ac="http://schemas.microsoft.com/office/spreadsheetml/2010/11/ac" url="/Users/marcus/Nextcloud/Sales/5 - Upphandlingar/GEANT_OCRE-IaaS+Cloud_Tender_ 2024/OFFER/"/>
    </mc:Choice>
  </mc:AlternateContent>
  <xr:revisionPtr revIDLastSave="0" documentId="13_ncr:1_{41FF73BA-A569-3A4B-9A43-3E1F481E46F1}" xr6:coauthVersionLast="47" xr6:coauthVersionMax="47" xr10:uidLastSave="{00000000-0000-0000-0000-000000000000}"/>
  <bookViews>
    <workbookView xWindow="0" yWindow="760" windowWidth="30240" windowHeight="18880" xr2:uid="{00000000-000D-0000-FFFF-FFFF00000000}"/>
  </bookViews>
  <sheets>
    <sheet name="SEK - Safesprings tjänster 2024" sheetId="1" r:id="rId1"/>
    <sheet name="NOK - Safespring tjenester 2024" sheetId="2" r:id="rId2"/>
    <sheet name="DKK - Safespring-tjenester 2024" sheetId="6" r:id="rId3"/>
    <sheet name="EUR - Safespring services 2024" sheetId="7" r:id="rId4"/>
    <sheet name="Data" sheetId="8" state="hidden" r:id="rId5"/>
  </sheets>
  <definedNames>
    <definedName name="Antal_instanser" localSheetId="2">'DKK - Safespring-tjenester 2024'!#REF!</definedName>
    <definedName name="Antal_instanser" localSheetId="3">'EUR - Safespring services 2024'!#REF!</definedName>
    <definedName name="Antal_instanser" localSheetId="1">'NOK - Safespring tjenester 2024'!#REF!</definedName>
    <definedName name="Antal_instanser">'SEK - Safesprings tjänster 2024'!#REF!</definedName>
    <definedName name="b2_list_Antal_instanser" localSheetId="2">'DKK - Safespring-tjenester 2024'!$C$47:$C$56</definedName>
    <definedName name="b2_list_Antal_instanser" localSheetId="3">'EUR - Safespring services 2024'!$C$47:$C$56</definedName>
    <definedName name="b2_list_Antal_instanser" localSheetId="1">'NOK - Safespring tjenester 2024'!$C$47:$C$56</definedName>
    <definedName name="b2_list_Antal_instanser">'SEK - Safesprings tjänster 2024'!$C$47:$C$56</definedName>
    <definedName name="b2_list_ram" localSheetId="2">'DKK - Safespring-tjenester 2024'!$D$47:$D$56</definedName>
    <definedName name="b2_list_ram" localSheetId="3">'EUR - Safespring services 2024'!$D$47:$D$56</definedName>
    <definedName name="b2_list_ram" localSheetId="1">'NOK - Safespring tjenester 2024'!$D$47:$D$56</definedName>
    <definedName name="b2_list_ram">'SEK - Safesprings tjänster 2024'!$D$47:$D$56</definedName>
    <definedName name="b2_list_vCPU" localSheetId="2">'DKK - Safespring-tjenester 2024'!$I$47:$I$56</definedName>
    <definedName name="b2_list_vCPU" localSheetId="3">'EUR - Safespring services 2024'!$I$47:$I$56</definedName>
    <definedName name="b2_list_vCPU" localSheetId="1">'NOK - Safespring tjenester 2024'!$I$47:$I$56</definedName>
    <definedName name="b2_list_vCPU">'SEK - Safesprings tjänster 2024'!$I$47:$I$56</definedName>
    <definedName name="BAAS_large_EUR">Data!$F$27</definedName>
    <definedName name="BAAS_large_SEK">Data!$E$27</definedName>
    <definedName name="BAAS_large.fee_EUR">Data!$F$25</definedName>
    <definedName name="BAAS_large.fee_SEK">Data!$E$25</definedName>
    <definedName name="BAAS_on.demand_EUR">Data!$F$23</definedName>
    <definedName name="BAAS_on.demand_SEK">Data!$E$23</definedName>
    <definedName name="BAAS_small_EUR">Data!$F$26</definedName>
    <definedName name="BAAS_small_SEK">Data!$E$26</definedName>
    <definedName name="BAAS_small.fee_EUR">Data!$F$24</definedName>
    <definedName name="BAAS_small.fee_SEK">Data!$E$24</definedName>
    <definedName name="Disk__GB" localSheetId="2">'DKK - Safespring-tjenester 2024'!#REF!</definedName>
    <definedName name="Disk__GB" localSheetId="3">'EUR - Safespring services 2024'!#REF!</definedName>
    <definedName name="Disk__GB" localSheetId="1">'NOK - Safespring tjenester 2024'!#REF!</definedName>
    <definedName name="Disk__GB">'SEK - Safesprings tjänster 2024'!#REF!</definedName>
    <definedName name="EUR">Data!$K$4</definedName>
    <definedName name="IAAS_gpu_EUR">Data!$F$7</definedName>
    <definedName name="IAAS_gpu_SEK">Data!$E$7</definedName>
    <definedName name="IAAS_gpu_SUNET">Data!$G$7</definedName>
    <definedName name="IAAS_nvme_EUR">Data!$F$6</definedName>
    <definedName name="IAAS_nvme_SEK">Data!$E$6</definedName>
    <definedName name="IAAS_nvme_SUNET">Data!$G$6</definedName>
    <definedName name="IAAS_pcpu_EUR">Data!$F$8</definedName>
    <definedName name="IAAS_pcpu_SEK">Data!$E$8</definedName>
    <definedName name="IAAS_pcpu_SUNET">Data!$G$8</definedName>
    <definedName name="IAAS_ram_EUR">Data!$F$3</definedName>
    <definedName name="IAAS_ram_SEK">Data!$E$3</definedName>
    <definedName name="IAAS_ram_SUNET">Data!$G$3</definedName>
    <definedName name="IAAS_ram_sunet_b_m">Data!$G$9</definedName>
    <definedName name="IAAS_ssd_EUR">Data!$F$4</definedName>
    <definedName name="IAAS_ssd_SEK">Data!$E$4</definedName>
    <definedName name="IAAS_ssd_SUNET">Data!$G$11</definedName>
    <definedName name="IAAS_vcpu_EUR">Data!$F$5</definedName>
    <definedName name="IAAS_vcpu_SEK">Data!$E$5</definedName>
    <definedName name="IAAS_vcpu_SUNET">Data!$G$5</definedName>
    <definedName name="IAAS_vcpu_sunet_b_m">Data!$G$10</definedName>
    <definedName name="INSTANCE_p1.2xlarge.16d_EUR">Data!$F$14</definedName>
    <definedName name="INSTANCE_p1.2xlarge.16d_SEK">Data!$E$14</definedName>
    <definedName name="INSTANCE_p1.4xlarge.16d_EUR">Data!$F$15</definedName>
    <definedName name="INSTANCE_p1.4xlarge.16d_SEK">Data!$E$15</definedName>
    <definedName name="INSTANCE_p1.8xlarge.32d_EUR">Data!$F$16</definedName>
    <definedName name="INSTANCE_p1.8xlarge.32d_SEK">Data!$E$16</definedName>
    <definedName name="list_Antal_instanser" localSheetId="2">'DKK - Safespring-tjenester 2024'!#REF!</definedName>
    <definedName name="list_Antal_instanser" localSheetId="3">'EUR - Safespring services 2024'!#REF!</definedName>
    <definedName name="list_Antal_instanser" localSheetId="1">'NOK - Safespring tjenester 2024'!#REF!</definedName>
    <definedName name="list_Antal_instanser">'SEK - Safesprings tjänster 2024'!#REF!</definedName>
    <definedName name="list_Disk__GB" localSheetId="2">'DKK - Safespring-tjenester 2024'!#REF!</definedName>
    <definedName name="list_Disk__GB" localSheetId="3">'EUR - Safespring services 2024'!#REF!</definedName>
    <definedName name="list_Disk__GB" localSheetId="1">'NOK - Safespring tjenester 2024'!#REF!</definedName>
    <definedName name="list_Disk__GB">'SEK - Safesprings tjänster 2024'!#REF!</definedName>
    <definedName name="list_RAM__GB" localSheetId="2">'DKK - Safespring-tjenester 2024'!#REF!</definedName>
    <definedName name="list_RAM__GB" localSheetId="3">'EUR - Safespring services 2024'!#REF!</definedName>
    <definedName name="list_RAM__GB" localSheetId="1">'NOK - Safespring tjenester 2024'!#REF!</definedName>
    <definedName name="list_RAM__GB">'SEK - Safesprings tjänster 2024'!#REF!</definedName>
    <definedName name="list_vCPU" localSheetId="2">'DKK - Safespring-tjenester 2024'!#REF!</definedName>
    <definedName name="list_vCPU" localSheetId="3">'EUR - Safespring services 2024'!#REF!</definedName>
    <definedName name="list_vCPU" localSheetId="1">'NOK - Safespring tjenester 2024'!#REF!</definedName>
    <definedName name="list_vCPU">'SEK - Safesprings tjänster 2024'!#REF!</definedName>
    <definedName name="NET_byoip_EUR">Data!$F$49</definedName>
    <definedName name="NET_byoip_SEK">Data!$E$49</definedName>
    <definedName name="NET_egress_EUR">Data!$F$45</definedName>
    <definedName name="NET_egress_SEK">Data!$E$45</definedName>
    <definedName name="NET_ingress_EUR">Data!$F$44</definedName>
    <definedName name="NET_ingress_SEK">Data!$E$44</definedName>
    <definedName name="NET_mgn.slb_EUR">Data!$F$46</definedName>
    <definedName name="NET_mgn.slb_SEK">Data!$E$46</definedName>
    <definedName name="NET_publicv4_EUR">Data!$F$42</definedName>
    <definedName name="NET_publicv4_SEK">Data!$E$42</definedName>
    <definedName name="NET_publicv6_EUR">Data!$F$43</definedName>
    <definedName name="NET_publicv6_SEK">Data!$E$43</definedName>
    <definedName name="NET_rdns_EUR">Data!$F$47</definedName>
    <definedName name="NET_rdns_SEK">Data!$E$47</definedName>
    <definedName name="NET_saferoute_EUR">Data!$F$48</definedName>
    <definedName name="NET_saferoute_SEK">Data!$E$48</definedName>
    <definedName name="NOK">Data!$K$5</definedName>
    <definedName name="PAAS_man.elasticsearch_EUR">Data!$F$64</definedName>
    <definedName name="PAAS_man.elasticsearch_SEK">Data!$E$64</definedName>
    <definedName name="PAAS_man.kubernetes_EUR">Data!$F$62</definedName>
    <definedName name="PAAS_man.kubernetes_SEK">Data!$E$62</definedName>
    <definedName name="PAAS_man.kubernetes24_EUR">Data!$F$62</definedName>
    <definedName name="PAAS_man.kubernetes24_SEK">Data!$E$62</definedName>
    <definedName name="PAAS_man.kubernetes8_EUR">Data!$F$63</definedName>
    <definedName name="PAAS_man.kubernetes8_SEK">Data!$E$63</definedName>
    <definedName name="PAAS_man.mariadb_EUR">Data!$F$67</definedName>
    <definedName name="PAAS_man.mariadb_SEK">Data!$E$67</definedName>
    <definedName name="PAAS_man.nats_EUR">Data!$F$66</definedName>
    <definedName name="PAAS_man.nats_SEK">Data!$E$66</definedName>
    <definedName name="PAAS_man.postgres.sql_EUR">Data!$F$63</definedName>
    <definedName name="PAAS_man.postgres.sql_SEK">Data!$E$63</definedName>
    <definedName name="PAAS_man.redis_EUR">Data!$F$65</definedName>
    <definedName name="PAAS_man.redis_SEK">Data!$E$65</definedName>
    <definedName name="PAAS_openshift_EUR">Data!$F$68</definedName>
    <definedName name="PAAS_openshift_SEK">Data!$E$68</definedName>
    <definedName name="PRICE_total">#REF!</definedName>
    <definedName name="PS_cloudarch.jun_EUR">Data!$F$73</definedName>
    <definedName name="PS_cloudarch.jun_SEK">Data!$E$73</definedName>
    <definedName name="PS_cloudarch.sen_EUR">Data!$F$74</definedName>
    <definedName name="PS_cloudarch.sen_SEK">Data!$E$74</definedName>
    <definedName name="PS_consult.jun_EUR">Data!$F$71</definedName>
    <definedName name="PS_consult.jun_SEK">Data!$E$71</definedName>
    <definedName name="PS_consult.sen_EUR">Data!$F$72</definedName>
    <definedName name="PS_consult.sen_SEK">Data!$E$72</definedName>
    <definedName name="PS_pm.jun_EUR">Data!$F$75</definedName>
    <definedName name="PS_pm.jun_SEK">Data!$E$75</definedName>
    <definedName name="PS_pm.sen_EUR">Data!$F$76</definedName>
    <definedName name="PS_pm.sen_SEK">Data!$E$76</definedName>
    <definedName name="RAM__GB" localSheetId="2">'DKK - Safespring-tjenester 2024'!#REF!</definedName>
    <definedName name="RAM__GB" localSheetId="3">'EUR - Safespring services 2024'!#REF!</definedName>
    <definedName name="RAM__GB" localSheetId="1">'NOK - Safespring tjenester 2024'!#REF!</definedName>
    <definedName name="RAM__GB">'SEK - Safesprings tjänster 2024'!#REF!</definedName>
    <definedName name="S3_archive.100_EUR">Data!$F$36</definedName>
    <definedName name="S3_archive.100_SEK">Data!$E$36</definedName>
    <definedName name="S3_archive.100_SUNET">Data!$G$36</definedName>
    <definedName name="S3_archive.1000_EUR">Data!$F$38</definedName>
    <definedName name="S3_archive.1000_SEK">Data!$E$38</definedName>
    <definedName name="S3_archive.1000_SUNET">Data!$G$38</definedName>
    <definedName name="S3_archive.50_EUR">Data!$F$35</definedName>
    <definedName name="S3_archive.50_SEK">Data!$E$35</definedName>
    <definedName name="S3_archive.50_SUNET">Data!$G$35</definedName>
    <definedName name="S3_archive.500_EUR">Data!$F$37</definedName>
    <definedName name="S3_archive.500_SEK">Data!$E$37</definedName>
    <definedName name="S3_archive.500_SUNET">Data!$G$37</definedName>
    <definedName name="S3_archive.quote_EUR">Data!$F$39</definedName>
    <definedName name="S3_archive.quote_SEK">Data!$E$39</definedName>
    <definedName name="S3_archive.quote_SUNET">Data!$G$39</definedName>
    <definedName name="S3_archive100">Data!$E$36</definedName>
    <definedName name="S3_storage.100_EUR">Data!$F$36</definedName>
    <definedName name="S3_storage.100_SEK">Data!$E$36</definedName>
    <definedName name="S3_storage.100_SUNET">Data!$G$36</definedName>
    <definedName name="S3_storage.1000_EUR">Data!$F$38</definedName>
    <definedName name="S3_storage.1000_SEK">Data!$E$38</definedName>
    <definedName name="S3_storage.1000_SUNET">Data!$G$38</definedName>
    <definedName name="S3_storage.50_EUR">Data!$F$35</definedName>
    <definedName name="S3_storage.50_SEK">Data!$E$35</definedName>
    <definedName name="S3_storage.50_SUNET">Data!$G$35</definedName>
    <definedName name="S3_storage.500_EUR">Data!$F$37</definedName>
    <definedName name="S3_storage.500_SEK">Data!$E$37</definedName>
    <definedName name="S3_storage.500_SUNET">Data!$G$37</definedName>
    <definedName name="S3_storage.quote_EUR">Data!$F$39</definedName>
    <definedName name="S3_storage.quote_SEK">Data!$E$39</definedName>
    <definedName name="S3_storage.quote_SUNET">Data!$G$39</definedName>
    <definedName name="S3_storage100_EUR">Data!$F$31</definedName>
    <definedName name="S3_storage100_SEK">Data!$E$31</definedName>
    <definedName name="S3_storage1000_EUR">Data!$F$33</definedName>
    <definedName name="S3_storage1000_SEK">Data!$E$33</definedName>
    <definedName name="S3_storage50">Data!$E$30</definedName>
    <definedName name="S3_storage50_EUR">Data!$F$30</definedName>
    <definedName name="S3_storage50_SEK">Data!$E$30</definedName>
    <definedName name="S3_storage500_EUR">Data!$F$32</definedName>
    <definedName name="S3_storage500_SEK">Data!$E$32</definedName>
    <definedName name="S3.archive.50">Data!$E$35</definedName>
    <definedName name="Safespring.price.increase">Data!$K$14</definedName>
    <definedName name="SEK">Data!$K$3</definedName>
    <definedName name="sunet.price.increase">Data!$K$15</definedName>
    <definedName name="SW_backup.ninja_EUR">Data!$F$59</definedName>
    <definedName name="SW_backup.ninja_SEK">Data!$E$59</definedName>
    <definedName name="SW_cluster.control_EUR">Data!$F$58</definedName>
    <definedName name="SW_cluster.control_SEK">Data!$E$58</definedName>
    <definedName name="SW_ms.sql.ser_EUR">Data!$F$53</definedName>
    <definedName name="SW_ms.sql.ser_SEK">Data!$E$53</definedName>
    <definedName name="SW_ms.sql.ser.ent_EUR">Data!$F$54</definedName>
    <definedName name="SW_ms.sql.ser.ent_SEK">Data!$E$54</definedName>
    <definedName name="SW_nextcloud_EUR">Data!$F$56</definedName>
    <definedName name="SW_nextcloud_SEK">Data!$E$56</definedName>
    <definedName name="SW_stackn_EUR">Data!$F$55</definedName>
    <definedName name="SW_stackn_SEK">Data!$E$55</definedName>
    <definedName name="SW_suse_EUR">Data!$F$57</definedName>
    <definedName name="SW_suse_SEK">Data!$E$57</definedName>
    <definedName name="SW_suse_SEUR">Data!$F$57</definedName>
    <definedName name="SW_win.ser.201X_EUR">Data!$F$52</definedName>
    <definedName name="SW_win.ser.201X_SEK">Data!$E$52</definedName>
    <definedName name="_xlnm.Print_Area" localSheetId="2">'DKK - Safespring-tjenester 2024'!$A$3:$L$227</definedName>
    <definedName name="_xlnm.Print_Area" localSheetId="3">'EUR - Safespring services 2024'!$A$3:$L$227</definedName>
    <definedName name="_xlnm.Print_Area" localSheetId="1">'NOK - Safespring tjenester 2024'!$A$1:$L$228</definedName>
    <definedName name="_xlnm.Print_Area" localSheetId="0">'SEK - Safesprings tjänster 2024'!$A$1:$L$227</definedName>
    <definedName name="vCPU" localSheetId="2">'DKK - Safespring-tjenester 2024'!#REF!</definedName>
    <definedName name="vCPU" localSheetId="3">'EUR - Safespring services 2024'!#REF!</definedName>
    <definedName name="vCPU" localSheetId="1">'NOK - Safespring tjenester 2024'!#REF!</definedName>
    <definedName name="vCPU">'SEK - Safesprings tjänster 2024'!#REF!</definedName>
    <definedName name="VOLUME_fast_EUR">Data!$F$20</definedName>
    <definedName name="VOLUME_fast_SEK">Data!$E$20</definedName>
    <definedName name="VOLUME_fast_SUNET">Data!$G$20</definedName>
    <definedName name="VOLUME_large_EUR">Data!$F$19</definedName>
    <definedName name="VOLUME_large_SEK">Data!$E$19</definedName>
    <definedName name="VOLUME_large_SUNET">Data!$G$19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3" i="7" l="1"/>
  <c r="K163" i="6"/>
  <c r="K164" i="2"/>
  <c r="K163" i="1"/>
  <c r="E56" i="8"/>
  <c r="K151" i="6"/>
  <c r="K152" i="2"/>
  <c r="F76" i="8"/>
  <c r="E76" i="8"/>
  <c r="F75" i="8"/>
  <c r="E75" i="8"/>
  <c r="F74" i="8"/>
  <c r="E74" i="8"/>
  <c r="F73" i="8"/>
  <c r="E73" i="8"/>
  <c r="F72" i="8"/>
  <c r="K185" i="6" s="1"/>
  <c r="E72" i="8"/>
  <c r="F71" i="8"/>
  <c r="K184" i="7" s="1"/>
  <c r="E71" i="8"/>
  <c r="F59" i="8"/>
  <c r="E59" i="8"/>
  <c r="F54" i="8"/>
  <c r="E54" i="8"/>
  <c r="F53" i="8"/>
  <c r="E53" i="8"/>
  <c r="F52" i="8"/>
  <c r="E52" i="8"/>
  <c r="F49" i="8"/>
  <c r="E49" i="8"/>
  <c r="E48" i="8"/>
  <c r="F47" i="8"/>
  <c r="K152" i="7" s="1"/>
  <c r="E47" i="8"/>
  <c r="E46" i="8"/>
  <c r="F45" i="8"/>
  <c r="E45" i="8"/>
  <c r="F44" i="8"/>
  <c r="E44" i="8"/>
  <c r="F43" i="8"/>
  <c r="E43" i="8"/>
  <c r="F42" i="8"/>
  <c r="K147" i="7" s="1"/>
  <c r="E42" i="8"/>
  <c r="E39" i="8"/>
  <c r="F38" i="8"/>
  <c r="E38" i="8"/>
  <c r="F37" i="8"/>
  <c r="E37" i="8"/>
  <c r="F36" i="8"/>
  <c r="E36" i="8"/>
  <c r="F35" i="8"/>
  <c r="E35" i="8"/>
  <c r="E34" i="8"/>
  <c r="F33" i="8"/>
  <c r="E33" i="8"/>
  <c r="F32" i="8"/>
  <c r="E32" i="8"/>
  <c r="F31" i="8"/>
  <c r="E31" i="8"/>
  <c r="F30" i="8"/>
  <c r="G96" i="7" s="1"/>
  <c r="K96" i="7" s="1"/>
  <c r="E30" i="8"/>
  <c r="F27" i="8"/>
  <c r="E27" i="8"/>
  <c r="F26" i="8"/>
  <c r="E26" i="8"/>
  <c r="F25" i="8"/>
  <c r="E25" i="8"/>
  <c r="F24" i="8"/>
  <c r="E24" i="8"/>
  <c r="F23" i="8"/>
  <c r="G118" i="7" s="1"/>
  <c r="K118" i="7" s="1"/>
  <c r="K121" i="7" s="1"/>
  <c r="J217" i="7" s="1"/>
  <c r="E23" i="8"/>
  <c r="F20" i="8"/>
  <c r="G82" i="6" s="1"/>
  <c r="F82" i="6" s="1"/>
  <c r="E20" i="8"/>
  <c r="F19" i="8"/>
  <c r="E19" i="8"/>
  <c r="F15" i="8"/>
  <c r="E15" i="8"/>
  <c r="G73" i="7" s="1"/>
  <c r="E14" i="8"/>
  <c r="G72" i="7" s="1"/>
  <c r="D14" i="8"/>
  <c r="F14" i="8" s="1"/>
  <c r="K10" i="8"/>
  <c r="K9" i="8"/>
  <c r="K11" i="8" s="1"/>
  <c r="F7" i="8"/>
  <c r="E7" i="8"/>
  <c r="F6" i="8"/>
  <c r="E6" i="8"/>
  <c r="F5" i="8"/>
  <c r="E5" i="8"/>
  <c r="E8" i="8" s="1"/>
  <c r="F4" i="8"/>
  <c r="E4" i="8"/>
  <c r="F3" i="8"/>
  <c r="E3" i="8"/>
  <c r="K189" i="7"/>
  <c r="K188" i="7"/>
  <c r="K187" i="7"/>
  <c r="K186" i="7"/>
  <c r="K162" i="7"/>
  <c r="K161" i="7"/>
  <c r="K160" i="7"/>
  <c r="K151" i="7"/>
  <c r="K150" i="7"/>
  <c r="K149" i="7"/>
  <c r="K148" i="7"/>
  <c r="K134" i="7"/>
  <c r="G134" i="7"/>
  <c r="G133" i="7"/>
  <c r="K133" i="7" s="1"/>
  <c r="K135" i="7" s="1"/>
  <c r="I121" i="7"/>
  <c r="K120" i="7"/>
  <c r="G120" i="7"/>
  <c r="E120" i="7"/>
  <c r="K119" i="7"/>
  <c r="G119" i="7"/>
  <c r="E119" i="7"/>
  <c r="D106" i="7"/>
  <c r="D105" i="7"/>
  <c r="E101" i="7" s="1" a="1"/>
  <c r="E101" i="7" s="1"/>
  <c r="K101" i="7" s="1" a="1"/>
  <c r="K101" i="7" s="1"/>
  <c r="K107" i="7" s="1"/>
  <c r="D104" i="7"/>
  <c r="D103" i="7"/>
  <c r="D102" i="7"/>
  <c r="G95" i="7"/>
  <c r="K95" i="7" s="1"/>
  <c r="I84" i="7"/>
  <c r="G83" i="7"/>
  <c r="K83" i="7" s="1"/>
  <c r="G81" i="7"/>
  <c r="K81" i="7" s="1"/>
  <c r="I75" i="7"/>
  <c r="E75" i="7" a="1"/>
  <c r="E75" i="7" s="1"/>
  <c r="D75" i="7" a="1"/>
  <c r="D75" i="7" s="1"/>
  <c r="C75" i="7" a="1"/>
  <c r="C75" i="7" s="1"/>
  <c r="I66" i="7"/>
  <c r="F66" i="7" a="1"/>
  <c r="F66" i="7" s="1"/>
  <c r="E66" i="7" a="1"/>
  <c r="E66" i="7" s="1"/>
  <c r="D66" i="7" a="1"/>
  <c r="D66" i="7" s="1"/>
  <c r="C66" i="7" a="1"/>
  <c r="C66" i="7" s="1"/>
  <c r="K64" i="7"/>
  <c r="H64" i="7"/>
  <c r="G64" i="7" s="1"/>
  <c r="H63" i="7"/>
  <c r="K63" i="7" s="1"/>
  <c r="H62" i="7"/>
  <c r="K62" i="7" s="1"/>
  <c r="I57" i="7"/>
  <c r="E56" i="7"/>
  <c r="D56" i="7"/>
  <c r="C56" i="7"/>
  <c r="B56" i="7"/>
  <c r="E55" i="7"/>
  <c r="D55" i="7"/>
  <c r="C55" i="7"/>
  <c r="B55" i="7"/>
  <c r="E54" i="7"/>
  <c r="D54" i="7"/>
  <c r="C54" i="7"/>
  <c r="B54" i="7"/>
  <c r="E53" i="7"/>
  <c r="D53" i="7"/>
  <c r="C53" i="7"/>
  <c r="B53" i="7"/>
  <c r="E52" i="7"/>
  <c r="D52" i="7"/>
  <c r="C52" i="7"/>
  <c r="B52" i="7"/>
  <c r="E51" i="7"/>
  <c r="D51" i="7"/>
  <c r="C51" i="7"/>
  <c r="B51" i="7"/>
  <c r="E50" i="7"/>
  <c r="D50" i="7"/>
  <c r="C50" i="7"/>
  <c r="B50" i="7"/>
  <c r="E49" i="7"/>
  <c r="D49" i="7"/>
  <c r="C49" i="7"/>
  <c r="B49" i="7"/>
  <c r="E48" i="7"/>
  <c r="D48" i="7"/>
  <c r="C48" i="7"/>
  <c r="B48" i="7"/>
  <c r="E47" i="7"/>
  <c r="D47" i="7"/>
  <c r="C47" i="7"/>
  <c r="B47" i="7"/>
  <c r="I40" i="7"/>
  <c r="E39" i="7"/>
  <c r="D39" i="7"/>
  <c r="C39" i="7"/>
  <c r="B39" i="7"/>
  <c r="E38" i="7"/>
  <c r="D38" i="7"/>
  <c r="C38" i="7"/>
  <c r="B38" i="7"/>
  <c r="E37" i="7"/>
  <c r="D37" i="7"/>
  <c r="C37" i="7"/>
  <c r="B37" i="7"/>
  <c r="E36" i="7"/>
  <c r="D36" i="7"/>
  <c r="C36" i="7"/>
  <c r="B36" i="7"/>
  <c r="E35" i="7"/>
  <c r="D35" i="7"/>
  <c r="C35" i="7"/>
  <c r="B35" i="7"/>
  <c r="E34" i="7"/>
  <c r="D34" i="7"/>
  <c r="C34" i="7"/>
  <c r="B34" i="7"/>
  <c r="E33" i="7"/>
  <c r="D33" i="7"/>
  <c r="C33" i="7"/>
  <c r="B33" i="7"/>
  <c r="E32" i="7"/>
  <c r="D32" i="7"/>
  <c r="C32" i="7"/>
  <c r="B32" i="7"/>
  <c r="E31" i="7"/>
  <c r="D31" i="7"/>
  <c r="C31" i="7"/>
  <c r="B31" i="7"/>
  <c r="E30" i="7"/>
  <c r="D30" i="7"/>
  <c r="C30" i="7"/>
  <c r="B30" i="7"/>
  <c r="E29" i="7"/>
  <c r="D29" i="7"/>
  <c r="C29" i="7"/>
  <c r="B29" i="7"/>
  <c r="E28" i="7"/>
  <c r="D28" i="7"/>
  <c r="C28" i="7"/>
  <c r="B28" i="7"/>
  <c r="E27" i="7"/>
  <c r="D27" i="7"/>
  <c r="C27" i="7"/>
  <c r="B27" i="7"/>
  <c r="E26" i="7"/>
  <c r="D26" i="7"/>
  <c r="C26" i="7"/>
  <c r="B26" i="7"/>
  <c r="K189" i="6"/>
  <c r="K188" i="6"/>
  <c r="K187" i="6"/>
  <c r="K186" i="6"/>
  <c r="K184" i="6"/>
  <c r="K162" i="6"/>
  <c r="K161" i="6"/>
  <c r="K160" i="6"/>
  <c r="K152" i="6"/>
  <c r="K150" i="6"/>
  <c r="K149" i="6"/>
  <c r="K148" i="6"/>
  <c r="K147" i="6"/>
  <c r="K134" i="6"/>
  <c r="G134" i="6"/>
  <c r="G133" i="6"/>
  <c r="K133" i="6" s="1"/>
  <c r="K135" i="6" s="1"/>
  <c r="I121" i="6"/>
  <c r="K120" i="6"/>
  <c r="G120" i="6"/>
  <c r="E120" i="6"/>
  <c r="K119" i="6"/>
  <c r="G119" i="6"/>
  <c r="E119" i="6"/>
  <c r="G118" i="6"/>
  <c r="K118" i="6" s="1"/>
  <c r="D106" i="6"/>
  <c r="D105" i="6"/>
  <c r="E101" i="6" s="1" a="1"/>
  <c r="E101" i="6" s="1"/>
  <c r="D104" i="6"/>
  <c r="D103" i="6"/>
  <c r="D102" i="6"/>
  <c r="K101" i="6" a="1"/>
  <c r="K101" i="6" s="1"/>
  <c r="K107" i="6" s="1"/>
  <c r="G96" i="6"/>
  <c r="K96" i="6" s="1"/>
  <c r="G95" i="6"/>
  <c r="K95" i="6" s="1"/>
  <c r="I84" i="6"/>
  <c r="G83" i="6"/>
  <c r="K83" i="6" s="1"/>
  <c r="G81" i="6"/>
  <c r="K81" i="6" s="1"/>
  <c r="I75" i="6"/>
  <c r="E75" i="6" a="1"/>
  <c r="E75" i="6" s="1"/>
  <c r="D75" i="6" a="1"/>
  <c r="D75" i="6" s="1"/>
  <c r="C75" i="6" a="1"/>
  <c r="C75" i="6" s="1"/>
  <c r="G73" i="6"/>
  <c r="K73" i="6" s="1"/>
  <c r="F73" i="6"/>
  <c r="G72" i="6"/>
  <c r="K72" i="6" s="1"/>
  <c r="F72" i="6"/>
  <c r="I66" i="6"/>
  <c r="F66" i="6" a="1"/>
  <c r="F66" i="6" s="1"/>
  <c r="E66" i="6" a="1"/>
  <c r="E66" i="6" s="1"/>
  <c r="D66" i="6" a="1"/>
  <c r="D66" i="6" s="1"/>
  <c r="C66" i="6" a="1"/>
  <c r="C66" i="6" s="1"/>
  <c r="K65" i="6"/>
  <c r="H65" i="6"/>
  <c r="G65" i="6"/>
  <c r="H64" i="6"/>
  <c r="K64" i="6" s="1"/>
  <c r="G64" i="6"/>
  <c r="H63" i="6"/>
  <c r="K63" i="6" s="1"/>
  <c r="G63" i="6"/>
  <c r="H62" i="6"/>
  <c r="G62" i="6" s="1"/>
  <c r="I57" i="6"/>
  <c r="E56" i="6"/>
  <c r="D56" i="6"/>
  <c r="C56" i="6"/>
  <c r="B56" i="6"/>
  <c r="E55" i="6"/>
  <c r="D55" i="6"/>
  <c r="C55" i="6"/>
  <c r="B55" i="6"/>
  <c r="E54" i="6"/>
  <c r="D54" i="6"/>
  <c r="C54" i="6"/>
  <c r="B54" i="6"/>
  <c r="E53" i="6"/>
  <c r="D53" i="6"/>
  <c r="C53" i="6"/>
  <c r="B53" i="6"/>
  <c r="E52" i="6"/>
  <c r="D52" i="6"/>
  <c r="C52" i="6"/>
  <c r="B52" i="6"/>
  <c r="E51" i="6"/>
  <c r="D51" i="6"/>
  <c r="C51" i="6"/>
  <c r="B51" i="6"/>
  <c r="E50" i="6"/>
  <c r="D50" i="6"/>
  <c r="C50" i="6"/>
  <c r="B50" i="6"/>
  <c r="E49" i="6"/>
  <c r="D49" i="6"/>
  <c r="C49" i="6"/>
  <c r="B49" i="6"/>
  <c r="E48" i="6"/>
  <c r="D48" i="6"/>
  <c r="C48" i="6"/>
  <c r="B48" i="6"/>
  <c r="E47" i="6"/>
  <c r="D47" i="6"/>
  <c r="C47" i="6"/>
  <c r="B47" i="6"/>
  <c r="I40" i="6"/>
  <c r="E39" i="6"/>
  <c r="D39" i="6"/>
  <c r="C39" i="6"/>
  <c r="B39" i="6"/>
  <c r="E38" i="6"/>
  <c r="D38" i="6"/>
  <c r="C38" i="6"/>
  <c r="B38" i="6"/>
  <c r="E37" i="6"/>
  <c r="D37" i="6"/>
  <c r="C37" i="6"/>
  <c r="B37" i="6"/>
  <c r="E36" i="6"/>
  <c r="D36" i="6"/>
  <c r="C36" i="6"/>
  <c r="B36" i="6"/>
  <c r="E35" i="6"/>
  <c r="D35" i="6"/>
  <c r="C35" i="6"/>
  <c r="B35" i="6"/>
  <c r="E34" i="6"/>
  <c r="D34" i="6"/>
  <c r="C34" i="6"/>
  <c r="B34" i="6"/>
  <c r="E33" i="6"/>
  <c r="D33" i="6"/>
  <c r="C33" i="6"/>
  <c r="B33" i="6"/>
  <c r="E32" i="6"/>
  <c r="D32" i="6"/>
  <c r="C32" i="6"/>
  <c r="B32" i="6"/>
  <c r="E31" i="6"/>
  <c r="D31" i="6"/>
  <c r="C31" i="6"/>
  <c r="B31" i="6"/>
  <c r="E30" i="6"/>
  <c r="D30" i="6"/>
  <c r="C30" i="6"/>
  <c r="B30" i="6"/>
  <c r="E29" i="6"/>
  <c r="D29" i="6"/>
  <c r="C29" i="6"/>
  <c r="B29" i="6"/>
  <c r="E28" i="6"/>
  <c r="D28" i="6"/>
  <c r="C28" i="6"/>
  <c r="B28" i="6"/>
  <c r="E27" i="6"/>
  <c r="D27" i="6"/>
  <c r="C27" i="6"/>
  <c r="B27" i="6"/>
  <c r="E26" i="6"/>
  <c r="D26" i="6"/>
  <c r="C26" i="6"/>
  <c r="B26" i="6"/>
  <c r="K190" i="2"/>
  <c r="K189" i="2"/>
  <c r="K188" i="2"/>
  <c r="K187" i="2"/>
  <c r="K186" i="2"/>
  <c r="K185" i="2"/>
  <c r="K163" i="2"/>
  <c r="K162" i="2"/>
  <c r="K161" i="2"/>
  <c r="K153" i="2"/>
  <c r="K151" i="2"/>
  <c r="K150" i="2"/>
  <c r="K149" i="2"/>
  <c r="K148" i="2"/>
  <c r="K134" i="2"/>
  <c r="K133" i="2"/>
  <c r="K135" i="2" s="1"/>
  <c r="I121" i="2"/>
  <c r="K120" i="2"/>
  <c r="G120" i="2"/>
  <c r="K119" i="2"/>
  <c r="G119" i="2"/>
  <c r="G118" i="2"/>
  <c r="K118" i="2" s="1"/>
  <c r="K121" i="2" s="1"/>
  <c r="J218" i="2" s="1"/>
  <c r="D106" i="2"/>
  <c r="D105" i="2"/>
  <c r="E101" i="2" s="1" a="1"/>
  <c r="E101" i="2" s="1"/>
  <c r="K101" i="2" s="1" a="1"/>
  <c r="K101" i="2" s="1"/>
  <c r="K107" i="2" s="1"/>
  <c r="D104" i="2"/>
  <c r="D103" i="2"/>
  <c r="D102" i="2"/>
  <c r="G96" i="2"/>
  <c r="K96" i="2" s="1"/>
  <c r="G95" i="2"/>
  <c r="K95" i="2" s="1"/>
  <c r="K97" i="2" s="1"/>
  <c r="J217" i="2" s="1"/>
  <c r="I84" i="2"/>
  <c r="G83" i="2"/>
  <c r="K83" i="2" s="1"/>
  <c r="F83" i="2"/>
  <c r="G82" i="2"/>
  <c r="G81" i="2"/>
  <c r="K81" i="2" s="1"/>
  <c r="I75" i="2"/>
  <c r="E75" i="2" a="1"/>
  <c r="E75" i="2" s="1"/>
  <c r="D75" i="2" a="1"/>
  <c r="D75" i="2" s="1"/>
  <c r="C75" i="2" a="1"/>
  <c r="C75" i="2" s="1"/>
  <c r="G73" i="2"/>
  <c r="K73" i="2" s="1"/>
  <c r="G72" i="2"/>
  <c r="F72" i="2" s="1"/>
  <c r="I66" i="2"/>
  <c r="F66" i="2" a="1"/>
  <c r="F66" i="2" s="1"/>
  <c r="E66" i="2" a="1"/>
  <c r="E66" i="2" s="1"/>
  <c r="D66" i="2" a="1"/>
  <c r="D66" i="2" s="1"/>
  <c r="C66" i="2" a="1"/>
  <c r="C66" i="2" s="1"/>
  <c r="H65" i="2"/>
  <c r="G65" i="2" s="1"/>
  <c r="H64" i="2"/>
  <c r="K64" i="2" s="1"/>
  <c r="H63" i="2"/>
  <c r="K63" i="2" s="1"/>
  <c r="H62" i="2"/>
  <c r="I57" i="2"/>
  <c r="E56" i="2"/>
  <c r="D56" i="2"/>
  <c r="C56" i="2"/>
  <c r="B56" i="2"/>
  <c r="E55" i="2"/>
  <c r="D55" i="2"/>
  <c r="C55" i="2"/>
  <c r="B55" i="2"/>
  <c r="E54" i="2"/>
  <c r="D54" i="2"/>
  <c r="C54" i="2"/>
  <c r="B54" i="2"/>
  <c r="E53" i="2"/>
  <c r="D53" i="2"/>
  <c r="C53" i="2"/>
  <c r="B53" i="2"/>
  <c r="E52" i="2"/>
  <c r="D52" i="2"/>
  <c r="C52" i="2"/>
  <c r="B52" i="2"/>
  <c r="E51" i="2"/>
  <c r="D51" i="2"/>
  <c r="C51" i="2"/>
  <c r="B51" i="2"/>
  <c r="E50" i="2"/>
  <c r="D50" i="2"/>
  <c r="C50" i="2"/>
  <c r="B50" i="2"/>
  <c r="E49" i="2"/>
  <c r="D49" i="2"/>
  <c r="C49" i="2"/>
  <c r="B49" i="2"/>
  <c r="E48" i="2"/>
  <c r="D48" i="2"/>
  <c r="C48" i="2"/>
  <c r="B48" i="2"/>
  <c r="E47" i="2"/>
  <c r="D47" i="2"/>
  <c r="C47" i="2"/>
  <c r="B47" i="2"/>
  <c r="I40" i="2"/>
  <c r="E39" i="2"/>
  <c r="D39" i="2"/>
  <c r="C39" i="2"/>
  <c r="B39" i="2"/>
  <c r="E38" i="2"/>
  <c r="D38" i="2"/>
  <c r="C38" i="2"/>
  <c r="B38" i="2"/>
  <c r="E37" i="2"/>
  <c r="D37" i="2"/>
  <c r="C37" i="2"/>
  <c r="B37" i="2"/>
  <c r="E36" i="2"/>
  <c r="D36" i="2"/>
  <c r="C36" i="2"/>
  <c r="B36" i="2"/>
  <c r="E35" i="2"/>
  <c r="D35" i="2"/>
  <c r="C35" i="2"/>
  <c r="B35" i="2"/>
  <c r="E34" i="2"/>
  <c r="D34" i="2"/>
  <c r="C34" i="2"/>
  <c r="B34" i="2"/>
  <c r="E33" i="2"/>
  <c r="D33" i="2"/>
  <c r="C33" i="2"/>
  <c r="B33" i="2"/>
  <c r="E32" i="2"/>
  <c r="D32" i="2"/>
  <c r="C32" i="2"/>
  <c r="B32" i="2"/>
  <c r="E31" i="2"/>
  <c r="D31" i="2"/>
  <c r="C31" i="2"/>
  <c r="B31" i="2"/>
  <c r="E30" i="2"/>
  <c r="D30" i="2"/>
  <c r="C30" i="2"/>
  <c r="B30" i="2"/>
  <c r="E29" i="2"/>
  <c r="D29" i="2"/>
  <c r="C29" i="2"/>
  <c r="B29" i="2"/>
  <c r="E28" i="2"/>
  <c r="D28" i="2"/>
  <c r="C28" i="2"/>
  <c r="B28" i="2"/>
  <c r="E27" i="2"/>
  <c r="D27" i="2"/>
  <c r="C27" i="2"/>
  <c r="B27" i="2"/>
  <c r="E26" i="2"/>
  <c r="D26" i="2"/>
  <c r="C26" i="2"/>
  <c r="B26" i="2"/>
  <c r="C215" i="1" a="1"/>
  <c r="C215" i="1" s="1"/>
  <c r="K189" i="1"/>
  <c r="K188" i="1"/>
  <c r="K187" i="1"/>
  <c r="K186" i="1"/>
  <c r="K185" i="1"/>
  <c r="K184" i="1"/>
  <c r="K162" i="1"/>
  <c r="K161" i="1"/>
  <c r="K160" i="1"/>
  <c r="K152" i="1"/>
  <c r="K151" i="1"/>
  <c r="K150" i="1"/>
  <c r="K149" i="1"/>
  <c r="K148" i="1"/>
  <c r="K147" i="1"/>
  <c r="K134" i="1"/>
  <c r="K133" i="1"/>
  <c r="I121" i="1"/>
  <c r="K120" i="1"/>
  <c r="G120" i="1"/>
  <c r="K119" i="1"/>
  <c r="G119" i="1"/>
  <c r="G118" i="1"/>
  <c r="K118" i="1" s="1"/>
  <c r="D106" i="1"/>
  <c r="D105" i="1"/>
  <c r="E101" i="1" s="1" a="1"/>
  <c r="E101" i="1" s="1"/>
  <c r="K101" i="1" s="1" a="1"/>
  <c r="K101" i="1" s="1"/>
  <c r="K107" i="1" s="1"/>
  <c r="D104" i="1"/>
  <c r="D103" i="1"/>
  <c r="D102" i="1"/>
  <c r="K96" i="1"/>
  <c r="G96" i="1"/>
  <c r="G95" i="1"/>
  <c r="K95" i="1" s="1"/>
  <c r="I84" i="1"/>
  <c r="G83" i="1"/>
  <c r="K83" i="1" s="1"/>
  <c r="F83" i="1"/>
  <c r="G82" i="1"/>
  <c r="K82" i="1" s="1"/>
  <c r="G81" i="1"/>
  <c r="K81" i="1" s="1"/>
  <c r="I75" i="1"/>
  <c r="E75" i="1" a="1"/>
  <c r="E75" i="1" s="1"/>
  <c r="D75" i="1" a="1"/>
  <c r="D75" i="1"/>
  <c r="C75" i="1" a="1"/>
  <c r="C75" i="1" s="1"/>
  <c r="G73" i="1"/>
  <c r="K73" i="1" s="1"/>
  <c r="G72" i="1"/>
  <c r="I66" i="1"/>
  <c r="F66" i="1" a="1"/>
  <c r="F66" i="1" s="1"/>
  <c r="E66" i="1" a="1"/>
  <c r="E66" i="1" s="1"/>
  <c r="D66" i="1" a="1"/>
  <c r="D66" i="1"/>
  <c r="C66" i="1" a="1"/>
  <c r="C66" i="1" s="1"/>
  <c r="H65" i="1"/>
  <c r="K65" i="1" s="1"/>
  <c r="G65" i="1"/>
  <c r="H64" i="1"/>
  <c r="K64" i="1" s="1"/>
  <c r="H63" i="1"/>
  <c r="K63" i="1" s="1"/>
  <c r="H62" i="1"/>
  <c r="K62" i="1" s="1"/>
  <c r="I57" i="1"/>
  <c r="D57" i="1" a="1"/>
  <c r="D57" i="1" s="1"/>
  <c r="C57" i="1" a="1"/>
  <c r="C57" i="1" s="1"/>
  <c r="G56" i="1"/>
  <c r="K56" i="1" s="1"/>
  <c r="F56" i="1"/>
  <c r="G55" i="1"/>
  <c r="F55" i="1" s="1"/>
  <c r="G54" i="1"/>
  <c r="G53" i="1"/>
  <c r="K53" i="1" s="1"/>
  <c r="G52" i="1"/>
  <c r="K52" i="1" s="1"/>
  <c r="F52" i="1"/>
  <c r="G51" i="1"/>
  <c r="K51" i="1" s="1"/>
  <c r="G50" i="1"/>
  <c r="F50" i="1" s="1"/>
  <c r="G49" i="1"/>
  <c r="K49" i="1" s="1"/>
  <c r="G48" i="1"/>
  <c r="K48" i="1" s="1"/>
  <c r="G47" i="1"/>
  <c r="K47" i="1" s="1"/>
  <c r="F47" i="1"/>
  <c r="I40" i="1"/>
  <c r="E40" i="1" a="1"/>
  <c r="E40" i="1" s="1"/>
  <c r="D40" i="1" a="1"/>
  <c r="D40" i="1" s="1"/>
  <c r="C40" i="1" a="1"/>
  <c r="C40" i="1"/>
  <c r="G39" i="1"/>
  <c r="K39" i="1" s="1"/>
  <c r="G38" i="1"/>
  <c r="K38" i="1" s="1"/>
  <c r="F38" i="1"/>
  <c r="G37" i="1"/>
  <c r="K37" i="1" s="1"/>
  <c r="G36" i="1"/>
  <c r="K36" i="1" s="1"/>
  <c r="F36" i="1"/>
  <c r="G35" i="1"/>
  <c r="K35" i="1" s="1"/>
  <c r="G34" i="1"/>
  <c r="F34" i="1" s="1"/>
  <c r="G33" i="1"/>
  <c r="K33" i="1" s="1"/>
  <c r="G32" i="1"/>
  <c r="F32" i="1" s="1"/>
  <c r="G31" i="1"/>
  <c r="G30" i="1"/>
  <c r="K30" i="1" s="1"/>
  <c r="F30" i="1"/>
  <c r="G29" i="1"/>
  <c r="K29" i="1" s="1"/>
  <c r="G28" i="1"/>
  <c r="K28" i="1" s="1"/>
  <c r="F28" i="1"/>
  <c r="G27" i="1"/>
  <c r="F27" i="1" s="1"/>
  <c r="G26" i="1"/>
  <c r="F26" i="1" s="1"/>
  <c r="F83" i="6" l="1"/>
  <c r="G53" i="6"/>
  <c r="K53" i="6" s="1"/>
  <c r="F81" i="7"/>
  <c r="D40" i="7" a="1"/>
  <c r="F83" i="7"/>
  <c r="E40" i="7" a="1"/>
  <c r="E40" i="7" s="1"/>
  <c r="E40" i="6" a="1"/>
  <c r="E40" i="6" s="1"/>
  <c r="D57" i="6" a="1"/>
  <c r="D57" i="6" s="1"/>
  <c r="F81" i="2"/>
  <c r="F35" i="1"/>
  <c r="G62" i="1"/>
  <c r="G38" i="7"/>
  <c r="F38" i="7" s="1"/>
  <c r="G49" i="7"/>
  <c r="K49" i="7" s="1"/>
  <c r="G34" i="7"/>
  <c r="K34" i="7" s="1"/>
  <c r="G48" i="2"/>
  <c r="F48" i="2" s="1"/>
  <c r="C57" i="7" a="1"/>
  <c r="C57" i="7" s="1"/>
  <c r="G63" i="7"/>
  <c r="C216" i="7"/>
  <c r="D57" i="7" a="1"/>
  <c r="D57" i="7" s="1"/>
  <c r="C215" i="7" a="1"/>
  <c r="C215" i="7" s="1"/>
  <c r="G26" i="7"/>
  <c r="K26" i="7" s="1"/>
  <c r="G62" i="7"/>
  <c r="K97" i="6"/>
  <c r="J216" i="6" s="1"/>
  <c r="K62" i="6"/>
  <c r="F81" i="6"/>
  <c r="G63" i="2"/>
  <c r="C217" i="2"/>
  <c r="D57" i="2" a="1"/>
  <c r="D57" i="2" s="1"/>
  <c r="C57" i="2" a="1"/>
  <c r="C57" i="2" s="1"/>
  <c r="G64" i="2"/>
  <c r="F53" i="1"/>
  <c r="G31" i="2"/>
  <c r="K31" i="2" s="1"/>
  <c r="G54" i="6"/>
  <c r="K54" i="6" s="1"/>
  <c r="G28" i="2"/>
  <c r="F28" i="2" s="1"/>
  <c r="G51" i="6"/>
  <c r="K51" i="6" s="1"/>
  <c r="F81" i="1"/>
  <c r="F49" i="1"/>
  <c r="F82" i="1"/>
  <c r="K50" i="1"/>
  <c r="G49" i="6"/>
  <c r="K49" i="6" s="1"/>
  <c r="G63" i="1"/>
  <c r="F73" i="1"/>
  <c r="G30" i="2"/>
  <c r="F30" i="2" s="1"/>
  <c r="G37" i="2"/>
  <c r="K37" i="2" s="1"/>
  <c r="G64" i="1"/>
  <c r="K135" i="1"/>
  <c r="K26" i="1"/>
  <c r="K27" i="1"/>
  <c r="G47" i="6"/>
  <c r="K47" i="6" s="1"/>
  <c r="G54" i="7"/>
  <c r="K54" i="7" s="1"/>
  <c r="G47" i="7"/>
  <c r="K47" i="7" s="1"/>
  <c r="K66" i="1"/>
  <c r="G35" i="2"/>
  <c r="K35" i="2" s="1"/>
  <c r="G28" i="7"/>
  <c r="K28" i="7" s="1"/>
  <c r="G51" i="7"/>
  <c r="K51" i="7" s="1"/>
  <c r="F29" i="1"/>
  <c r="F37" i="1"/>
  <c r="F48" i="1"/>
  <c r="G55" i="6"/>
  <c r="K55" i="6" s="1"/>
  <c r="G55" i="7"/>
  <c r="K55" i="7" s="1"/>
  <c r="G32" i="7"/>
  <c r="K32" i="7" s="1"/>
  <c r="G52" i="7"/>
  <c r="K52" i="7" s="1"/>
  <c r="G50" i="2"/>
  <c r="K50" i="2" s="1"/>
  <c r="G36" i="7"/>
  <c r="C216" i="1"/>
  <c r="G33" i="7"/>
  <c r="K33" i="7" s="1"/>
  <c r="G56" i="7"/>
  <c r="F56" i="7" s="1"/>
  <c r="G53" i="7"/>
  <c r="K53" i="7" s="1"/>
  <c r="G29" i="2"/>
  <c r="K29" i="2" s="1"/>
  <c r="F51" i="1"/>
  <c r="G36" i="6"/>
  <c r="K36" i="6" s="1"/>
  <c r="G30" i="7"/>
  <c r="K30" i="7" s="1"/>
  <c r="G37" i="7"/>
  <c r="K37" i="7" s="1"/>
  <c r="G32" i="2"/>
  <c r="G56" i="6"/>
  <c r="K56" i="6" s="1"/>
  <c r="G35" i="7"/>
  <c r="F35" i="7" s="1"/>
  <c r="G27" i="2"/>
  <c r="F27" i="2" s="1"/>
  <c r="G52" i="2"/>
  <c r="F52" i="2" s="1"/>
  <c r="G30" i="6"/>
  <c r="K30" i="6" s="1"/>
  <c r="G37" i="6"/>
  <c r="K37" i="6" s="1"/>
  <c r="G50" i="6"/>
  <c r="F50" i="6" s="1"/>
  <c r="G29" i="7"/>
  <c r="K29" i="7" s="1"/>
  <c r="G36" i="2"/>
  <c r="F36" i="2" s="1"/>
  <c r="G56" i="2"/>
  <c r="F56" i="2" s="1"/>
  <c r="G34" i="6"/>
  <c r="F34" i="6" s="1"/>
  <c r="G39" i="2"/>
  <c r="K39" i="2" s="1"/>
  <c r="G31" i="6"/>
  <c r="F31" i="6" s="1"/>
  <c r="G39" i="7"/>
  <c r="K39" i="7" s="1"/>
  <c r="G33" i="2"/>
  <c r="K33" i="2" s="1"/>
  <c r="G28" i="6"/>
  <c r="F28" i="6" s="1"/>
  <c r="G35" i="6"/>
  <c r="G38" i="6"/>
  <c r="F38" i="6" s="1"/>
  <c r="G48" i="6"/>
  <c r="K48" i="6" s="1"/>
  <c r="G27" i="7"/>
  <c r="F27" i="7" s="1"/>
  <c r="G54" i="2"/>
  <c r="K54" i="2" s="1"/>
  <c r="G29" i="6"/>
  <c r="G32" i="6"/>
  <c r="K32" i="6" s="1"/>
  <c r="G39" i="6"/>
  <c r="K39" i="6" s="1"/>
  <c r="G52" i="6"/>
  <c r="K52" i="6" s="1"/>
  <c r="G31" i="7"/>
  <c r="F31" i="7" s="1"/>
  <c r="D40" i="7"/>
  <c r="G55" i="2"/>
  <c r="K55" i="2" s="1"/>
  <c r="G33" i="6"/>
  <c r="F33" i="6" s="1"/>
  <c r="G50" i="7"/>
  <c r="K50" i="7" s="1"/>
  <c r="D40" i="6" a="1"/>
  <c r="D40" i="6" s="1"/>
  <c r="G26" i="6"/>
  <c r="K31" i="1"/>
  <c r="F31" i="1"/>
  <c r="K84" i="1"/>
  <c r="C216" i="2" a="1"/>
  <c r="C216" i="2" s="1"/>
  <c r="G26" i="2"/>
  <c r="K65" i="2"/>
  <c r="K32" i="1"/>
  <c r="F33" i="1"/>
  <c r="F39" i="1"/>
  <c r="K54" i="1"/>
  <c r="F54" i="1"/>
  <c r="K72" i="1"/>
  <c r="F72" i="1"/>
  <c r="E40" i="2" a="1"/>
  <c r="E40" i="2" s="1"/>
  <c r="G34" i="2"/>
  <c r="G51" i="2"/>
  <c r="G27" i="6"/>
  <c r="C215" i="6" a="1"/>
  <c r="C215" i="6" s="1"/>
  <c r="K36" i="7"/>
  <c r="F36" i="7"/>
  <c r="C216" i="6"/>
  <c r="C40" i="2" a="1"/>
  <c r="C40" i="2" s="1"/>
  <c r="G49" i="2"/>
  <c r="C57" i="6" a="1"/>
  <c r="C57" i="6" s="1"/>
  <c r="K55" i="1"/>
  <c r="K121" i="1"/>
  <c r="J217" i="1" s="1"/>
  <c r="K34" i="1"/>
  <c r="D40" i="2" a="1"/>
  <c r="D40" i="2" s="1"/>
  <c r="K62" i="2"/>
  <c r="G62" i="2"/>
  <c r="K72" i="2"/>
  <c r="K82" i="2"/>
  <c r="K84" i="2" s="1"/>
  <c r="F82" i="2"/>
  <c r="K97" i="1"/>
  <c r="J216" i="1" s="1"/>
  <c r="G38" i="2"/>
  <c r="G47" i="2"/>
  <c r="F73" i="2"/>
  <c r="K97" i="7"/>
  <c r="J216" i="7" s="1"/>
  <c r="K72" i="7"/>
  <c r="F72" i="7"/>
  <c r="G53" i="2"/>
  <c r="C40" i="6" a="1"/>
  <c r="C40" i="6" s="1"/>
  <c r="K66" i="6"/>
  <c r="K82" i="6"/>
  <c r="K84" i="6" s="1"/>
  <c r="K121" i="6"/>
  <c r="J217" i="6" s="1"/>
  <c r="K73" i="7"/>
  <c r="F73" i="7"/>
  <c r="C40" i="7" a="1"/>
  <c r="C40" i="7" s="1"/>
  <c r="G82" i="7"/>
  <c r="K185" i="7"/>
  <c r="F8" i="8"/>
  <c r="G48" i="7"/>
  <c r="F53" i="6"/>
  <c r="H65" i="7"/>
  <c r="D16" i="8"/>
  <c r="K35" i="7" l="1"/>
  <c r="F37" i="2"/>
  <c r="F30" i="7"/>
  <c r="K38" i="7"/>
  <c r="F34" i="7"/>
  <c r="F26" i="7"/>
  <c r="F49" i="7"/>
  <c r="F54" i="7"/>
  <c r="F50" i="2"/>
  <c r="K30" i="2"/>
  <c r="K48" i="2"/>
  <c r="F32" i="7"/>
  <c r="F47" i="7"/>
  <c r="F49" i="6"/>
  <c r="K50" i="6"/>
  <c r="K57" i="6" s="1"/>
  <c r="F33" i="7"/>
  <c r="K56" i="7"/>
  <c r="K31" i="7"/>
  <c r="F51" i="6"/>
  <c r="F47" i="6"/>
  <c r="F36" i="6"/>
  <c r="F39" i="6"/>
  <c r="F54" i="6"/>
  <c r="K31" i="6"/>
  <c r="F33" i="2"/>
  <c r="F35" i="2"/>
  <c r="F39" i="2"/>
  <c r="K27" i="2"/>
  <c r="K52" i="2"/>
  <c r="K28" i="2"/>
  <c r="F53" i="7"/>
  <c r="F31" i="2"/>
  <c r="F32" i="6"/>
  <c r="K40" i="1"/>
  <c r="K34" i="6"/>
  <c r="K33" i="6"/>
  <c r="F50" i="7"/>
  <c r="F28" i="7"/>
  <c r="K27" i="7"/>
  <c r="K40" i="7" s="1"/>
  <c r="F52" i="6"/>
  <c r="F29" i="2"/>
  <c r="F55" i="7"/>
  <c r="K38" i="6"/>
  <c r="F56" i="6"/>
  <c r="F37" i="6"/>
  <c r="K28" i="6"/>
  <c r="F30" i="6"/>
  <c r="F52" i="7"/>
  <c r="F55" i="2"/>
  <c r="F37" i="7"/>
  <c r="F55" i="6"/>
  <c r="K57" i="1"/>
  <c r="F51" i="7"/>
  <c r="K36" i="2"/>
  <c r="F29" i="6"/>
  <c r="K29" i="6"/>
  <c r="K56" i="2"/>
  <c r="F48" i="6"/>
  <c r="F35" i="6"/>
  <c r="K35" i="6"/>
  <c r="F39" i="7"/>
  <c r="F54" i="2"/>
  <c r="F29" i="7"/>
  <c r="F32" i="2"/>
  <c r="K32" i="2"/>
  <c r="K66" i="2"/>
  <c r="F82" i="7"/>
  <c r="K82" i="7"/>
  <c r="K84" i="7" s="1"/>
  <c r="K51" i="2"/>
  <c r="F51" i="2"/>
  <c r="K47" i="2"/>
  <c r="F47" i="2"/>
  <c r="F38" i="2"/>
  <c r="K38" i="2"/>
  <c r="F34" i="2"/>
  <c r="K34" i="2"/>
  <c r="F16" i="8"/>
  <c r="E16" i="8"/>
  <c r="K65" i="7"/>
  <c r="K66" i="7" s="1"/>
  <c r="G65" i="7"/>
  <c r="K48" i="7"/>
  <c r="K57" i="7" s="1"/>
  <c r="F48" i="7"/>
  <c r="K26" i="6"/>
  <c r="F26" i="6"/>
  <c r="K49" i="2"/>
  <c r="F49" i="2"/>
  <c r="F27" i="6"/>
  <c r="K27" i="6"/>
  <c r="F26" i="2"/>
  <c r="K26" i="2"/>
  <c r="K53" i="2"/>
  <c r="F53" i="2"/>
  <c r="K40" i="2" l="1"/>
  <c r="K40" i="6"/>
  <c r="K57" i="2"/>
  <c r="G74" i="1"/>
  <c r="G74" i="6"/>
  <c r="G74" i="7"/>
  <c r="G74" i="2"/>
  <c r="F74" i="7" l="1"/>
  <c r="K74" i="7"/>
  <c r="K75" i="7" s="1"/>
  <c r="J215" i="7" s="1"/>
  <c r="J218" i="7" s="1"/>
  <c r="K74" i="1"/>
  <c r="K75" i="1" s="1"/>
  <c r="J215" i="1" s="1"/>
  <c r="J218" i="1" s="1"/>
  <c r="F74" i="1"/>
  <c r="K74" i="2"/>
  <c r="K75" i="2" s="1"/>
  <c r="J216" i="2" s="1"/>
  <c r="J219" i="2" s="1"/>
  <c r="F74" i="2"/>
  <c r="F74" i="6"/>
  <c r="K74" i="6"/>
  <c r="K75" i="6" s="1"/>
  <c r="J215" i="6" s="1"/>
  <c r="J218" i="6" s="1"/>
</calcChain>
</file>

<file path=xl/sharedStrings.xml><?xml version="1.0" encoding="utf-8"?>
<sst xmlns="http://schemas.openxmlformats.org/spreadsheetml/2006/main" count="1235" uniqueCount="482">
  <si>
    <t>Priskalkylator 2024-05-06</t>
  </si>
  <si>
    <t>Kontakta Safespring</t>
  </si>
  <si>
    <t>Valuta</t>
  </si>
  <si>
    <t>Telefon: 08-55 10 73 56</t>
  </si>
  <si>
    <t>hello@safespring.com</t>
  </si>
  <si>
    <r>
      <t>Safespring Compute</t>
    </r>
    <r>
      <rPr>
        <sz val="48"/>
        <color theme="8" tint="0.59999389629810485"/>
        <rFont val="Hind Light"/>
        <charset val="1"/>
      </rPr>
      <t xml:space="preserve"> | IaaS</t>
    </r>
  </si>
  <si>
    <t>Infrastruktur kan köras med en Open Source-licens eller med en Windows-licens</t>
  </si>
  <si>
    <t>Alla priser är angivna i SEK, exklusive moms.</t>
  </si>
  <si>
    <r>
      <rPr>
        <sz val="11"/>
        <color theme="1"/>
        <rFont val="Montserrat Medium"/>
        <charset val="1"/>
      </rPr>
      <t>Instruktioner:</t>
    </r>
    <r>
      <rPr>
        <sz val="11"/>
        <color theme="1"/>
        <rFont val="Montserrat Light"/>
        <charset val="1"/>
      </rPr>
      <t xml:space="preserve"> Fyll i önskad kvantitet i de färgade fälten. </t>
    </r>
  </si>
  <si>
    <t>Flavors med lokal NVMe-disk</t>
  </si>
  <si>
    <r>
      <t>Central blocklagring kan köpas till instanserna. Se "</t>
    </r>
    <r>
      <rPr>
        <b/>
        <sz val="8"/>
        <color theme="5"/>
        <rFont val="Montserrat"/>
        <charset val="1"/>
      </rPr>
      <t>Central blocklagring</t>
    </r>
    <r>
      <rPr>
        <sz val="8"/>
        <color theme="3" tint="0.39997558519241921"/>
        <rFont val="Montserrat"/>
        <charset val="1"/>
      </rPr>
      <t>" i prislistan.</t>
    </r>
  </si>
  <si>
    <t>Produkt ID</t>
  </si>
  <si>
    <t>vCPU</t>
  </si>
  <si>
    <r>
      <t>RAM</t>
    </r>
    <r>
      <rPr>
        <sz val="11"/>
        <color theme="4"/>
        <rFont val="Hind Light"/>
        <charset val="1"/>
      </rPr>
      <t xml:space="preserve"> (GB)</t>
    </r>
  </si>
  <si>
    <r>
      <t xml:space="preserve">Lokal disk </t>
    </r>
    <r>
      <rPr>
        <sz val="11"/>
        <color theme="4"/>
        <rFont val="Hind Light"/>
        <charset val="1"/>
      </rPr>
      <t>(GB)</t>
    </r>
  </si>
  <si>
    <t>Per timme</t>
  </si>
  <si>
    <t>Per 30 dagar</t>
  </si>
  <si>
    <t>Antal instanser</t>
  </si>
  <si>
    <t>Infrastruktur</t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</si>
  <si>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c2 r4. 100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</si>
  <si>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c2 r4. 500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</si>
  <si>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c2 r4. 1000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</si>
  <si>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c4 r8. 100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</si>
  <si>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c4 r8. 500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</si>
  <si>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c4 r8. 1000</t>
    </r>
  </si>
  <si>
    <r>
      <rPr>
        <sz val="10"/>
        <color theme="1" tint="0.39997558519241921"/>
        <rFont val="Montserrat Medium"/>
        <charset val="1"/>
      </rPr>
      <t>FLAVOR</t>
    </r>
    <r>
      <rPr>
        <sz val="11"/>
        <color theme="1" tint="0.39997558519241921"/>
        <rFont val="Montserrat Medium"/>
        <charset val="1"/>
      </rPr>
      <t>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c8 r16. 100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</si>
  <si>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c8 r16. 500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</si>
  <si>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c8 r16. 1000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</si>
  <si>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c16 r32. 100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</si>
  <si>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c16 r32. 500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</si>
  <si>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l2. </t>
    </r>
    <r>
      <rPr>
        <sz val="11"/>
        <color theme="3"/>
        <rFont val="Montserrat Medium"/>
        <charset val="1"/>
      </rPr>
      <t>c16 r32. 1000</t>
    </r>
  </si>
  <si>
    <t>FLAVOR-l2. c16 r64. 500</t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</si>
  <si>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3"/>
        <rFont val="Montserrat Medium"/>
        <charset val="1"/>
      </rPr>
      <t>l2. c32 r64. 1000</t>
    </r>
  </si>
  <si>
    <t>Totalt</t>
  </si>
  <si>
    <t>Flavors utan lokal disk</t>
  </si>
  <si>
    <t>RAM (GB)</t>
  </si>
  <si>
    <t>Lokal disk (GB)</t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</si>
  <si>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3"/>
        <rFont val="Montserrat Medium"/>
        <charset val="1"/>
      </rPr>
      <t>b2. c1 r2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</si>
  <si>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3"/>
        <rFont val="Montserrat Medium"/>
        <charset val="1"/>
      </rPr>
      <t>b2. c1 r4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</si>
  <si>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3"/>
        <rFont val="Montserrat Medium"/>
        <charset val="1"/>
      </rPr>
      <t>b2. c2 r4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</si>
  <si>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3"/>
        <rFont val="Montserrat Medium"/>
        <charset val="1"/>
      </rPr>
      <t>b2. c2 r8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</si>
  <si>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>b2 .c4 r8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</si>
  <si>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b2. </t>
    </r>
    <r>
      <rPr>
        <sz val="11"/>
        <color theme="3"/>
        <rFont val="Montserrat Medium"/>
        <charset val="1"/>
      </rPr>
      <t>c4 r16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</si>
  <si>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b2. </t>
    </r>
    <r>
      <rPr>
        <sz val="11"/>
        <color theme="3"/>
        <rFont val="Montserrat Medium"/>
        <charset val="1"/>
      </rPr>
      <t>c8 r16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</si>
  <si>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b2. </t>
    </r>
    <r>
      <rPr>
        <sz val="11"/>
        <color theme="3"/>
        <rFont val="Montserrat Medium"/>
        <charset val="1"/>
      </rPr>
      <t>c8 r32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</si>
  <si>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b2. </t>
    </r>
    <r>
      <rPr>
        <sz val="11"/>
        <color theme="3"/>
        <rFont val="Montserrat Medium"/>
        <charset val="1"/>
      </rPr>
      <t>c16 r32</t>
    </r>
  </si>
  <si>
    <r>
      <rPr>
        <sz val="10"/>
        <color theme="1" tint="0.39997558519241921"/>
        <rFont val="Montserrat Medium"/>
        <charset val="1"/>
      </rPr>
      <t>FLAVOR-</t>
    </r>
    <r>
      <rPr>
        <sz val="11"/>
        <color theme="1"/>
        <rFont val="Montserrat Medium"/>
        <charset val="1"/>
      </rPr>
      <t xml:space="preserve">b2. </t>
    </r>
    <r>
      <rPr>
        <sz val="11"/>
        <color theme="3"/>
        <rFont val="Montserrat Medium"/>
        <charset val="1"/>
      </rPr>
      <t>c16 r64</t>
    </r>
  </si>
  <si>
    <t>N/A</t>
  </si>
  <si>
    <t>Instanser med GPU och lokal disk (NVME-disk)</t>
  </si>
  <si>
    <t>Central blocklagring kan köpas till instanserna. Se "Central blocklagring" i prislistan.</t>
  </si>
  <si>
    <t>CPU (p) core</t>
  </si>
  <si>
    <t>NVME (GB)</t>
  </si>
  <si>
    <t>GPU</t>
  </si>
  <si>
    <r>
      <rPr>
        <sz val="10"/>
        <color theme="1" tint="0.39997558519241921"/>
        <rFont val="Montserrat Medium"/>
        <charset val="1"/>
      </rPr>
      <t>INSTANCE-</t>
    </r>
    <r>
      <rPr>
        <sz val="11"/>
        <color theme="3"/>
        <rFont val="Montserrat Medium"/>
        <charset val="1"/>
      </rPr>
      <t>glm.large.1d</t>
    </r>
  </si>
  <si>
    <r>
      <rPr>
        <sz val="10"/>
        <color theme="1" tint="0.39997558519241921"/>
        <rFont val="Montserrat Medium"/>
        <charset val="1"/>
      </rPr>
      <t>INSTANCE-</t>
    </r>
    <r>
      <rPr>
        <sz val="11"/>
        <color theme="3"/>
        <rFont val="Montserrat Medium"/>
        <charset val="1"/>
      </rPr>
      <t>glm.xlarge.2d</t>
    </r>
  </si>
  <si>
    <r>
      <rPr>
        <sz val="10"/>
        <color theme="1" tint="0.39997558519241921"/>
        <rFont val="Montserrat Medium"/>
        <charset val="1"/>
      </rPr>
      <t>INSTANCE-</t>
    </r>
    <r>
      <rPr>
        <sz val="11"/>
        <color theme="3"/>
        <rFont val="Montserrat Medium"/>
        <charset val="1"/>
      </rPr>
      <t>glm.2xlarge.4d</t>
    </r>
  </si>
  <si>
    <r>
      <rPr>
        <sz val="10"/>
        <color theme="1" tint="0.39997558519241921"/>
        <rFont val="Montserrat Medium"/>
        <charset val="1"/>
      </rPr>
      <t>INSTANCE-</t>
    </r>
    <r>
      <rPr>
        <sz val="11"/>
        <color theme="3"/>
        <rFont val="Montserrat Medium"/>
        <charset val="1"/>
      </rPr>
      <t>glm.4xlarge.8d</t>
    </r>
  </si>
  <si>
    <t xml:space="preserve">Bare Metal Compute </t>
  </si>
  <si>
    <t>Antal</t>
  </si>
  <si>
    <r>
      <rPr>
        <sz val="10"/>
        <color theme="1" tint="0.39997558519241921"/>
        <rFont val="Montserrat Medium"/>
        <charset val="1"/>
      </rPr>
      <t>INSTANCE-</t>
    </r>
    <r>
      <rPr>
        <sz val="11"/>
        <color theme="1"/>
        <rFont val="Montserrat Medium"/>
        <charset val="1"/>
      </rPr>
      <t>p1.2xlarge.16d</t>
    </r>
  </si>
  <si>
    <r>
      <rPr>
        <sz val="10"/>
        <color theme="1" tint="0.39997558519241921"/>
        <rFont val="Montserrat Medium"/>
        <charset val="1"/>
      </rPr>
      <t>INSTANCE</t>
    </r>
    <r>
      <rPr>
        <sz val="9"/>
        <color theme="1" tint="0.39997558519241921"/>
        <rFont val="Montserrat Medium"/>
        <charset val="1"/>
      </rPr>
      <t>-</t>
    </r>
    <r>
      <rPr>
        <sz val="11"/>
        <color theme="1"/>
        <rFont val="Montserrat Medium"/>
        <charset val="1"/>
      </rPr>
      <t>p1.4xlarge.16d</t>
    </r>
  </si>
  <si>
    <r>
      <rPr>
        <sz val="10"/>
        <color theme="1" tint="0.39997558519241921"/>
        <rFont val="Montserrat Medium"/>
        <charset val="1"/>
      </rPr>
      <t>INSTANCE-</t>
    </r>
    <r>
      <rPr>
        <sz val="11"/>
        <color theme="1"/>
        <rFont val="Montserrat Medium"/>
        <charset val="1"/>
      </rPr>
      <t>p1.8xlarge.32d</t>
    </r>
  </si>
  <si>
    <t>Central blocklagring</t>
  </si>
  <si>
    <t>Central blocklagring ger tre kopior av datat utspritt i ett robust CEPH-kluster.</t>
  </si>
  <si>
    <t>Beskrivning</t>
  </si>
  <si>
    <t>Extra GB</t>
  </si>
  <si>
    <t>Lagring</t>
  </si>
  <si>
    <r>
      <rPr>
        <sz val="10"/>
        <color theme="1" tint="0.39997558519241921"/>
        <rFont val="Montserrat Medium"/>
        <charset val="1"/>
      </rPr>
      <t>VOLUME-</t>
    </r>
    <r>
      <rPr>
        <sz val="11"/>
        <color theme="1"/>
        <rFont val="Montserrat Medium"/>
        <charset val="1"/>
      </rPr>
      <t>large</t>
    </r>
  </si>
  <si>
    <t>HDD-backed 3-replica Ceph</t>
  </si>
  <si>
    <r>
      <rPr>
        <sz val="10"/>
        <color theme="1" tint="0.39997558519241921"/>
        <rFont val="Montserrat Medium"/>
        <charset val="1"/>
      </rPr>
      <t>VOLUME-</t>
    </r>
    <r>
      <rPr>
        <sz val="11"/>
        <color theme="1"/>
        <rFont val="Montserrat Medium"/>
        <charset val="1"/>
      </rPr>
      <t>fast</t>
    </r>
  </si>
  <si>
    <t>SSD-backed 3-replica Ceph</t>
  </si>
  <si>
    <r>
      <rPr>
        <sz val="10"/>
        <color theme="1" tint="0.39997558519241921"/>
        <rFont val="Montserrat Medium"/>
        <charset val="1"/>
      </rPr>
      <t>VOLUME-</t>
    </r>
    <r>
      <rPr>
        <sz val="11"/>
        <color theme="1"/>
        <rFont val="Montserrat Medium"/>
        <charset val="1"/>
      </rPr>
      <t>snapshot</t>
    </r>
  </si>
  <si>
    <t>Snapshot of image</t>
  </si>
  <si>
    <r>
      <t xml:space="preserve">Safespring Storage </t>
    </r>
    <r>
      <rPr>
        <sz val="48"/>
        <color theme="8" tint="0.59999389629810485"/>
        <rFont val="Hind Light"/>
        <charset val="1"/>
      </rPr>
      <t>| S3</t>
    </r>
  </si>
  <si>
    <t>Kontaka oss för rabatter vid större lagringsmängder. Prismodell baserat på antal lagrade TB i månaden.</t>
  </si>
  <si>
    <t>Per TB i 30 dagar</t>
  </si>
  <si>
    <t>Antal TB</t>
  </si>
  <si>
    <t>Storage</t>
  </si>
  <si>
    <r>
      <rPr>
        <sz val="10"/>
        <color theme="1" tint="0.39997558519241921"/>
        <rFont val="Montserrat Medium"/>
        <charset val="1"/>
      </rPr>
      <t>S3</t>
    </r>
    <r>
      <rPr>
        <sz val="11"/>
        <color theme="1" tint="0.39997558519241921"/>
        <rFont val="Montserrat Medium"/>
        <charset val="1"/>
      </rPr>
      <t>-</t>
    </r>
    <r>
      <rPr>
        <sz val="11"/>
        <color theme="3"/>
        <rFont val="Montserrat Medium"/>
        <charset val="1"/>
      </rPr>
      <t>archive</t>
    </r>
  </si>
  <si>
    <t>Anpassad för större lagringsvolymer över längre tid.</t>
  </si>
  <si>
    <r>
      <rPr>
        <sz val="10"/>
        <color theme="1" tint="0.39997558519241921"/>
        <rFont val="Montserrat Medium"/>
        <charset val="1"/>
      </rPr>
      <t>S3-</t>
    </r>
    <r>
      <rPr>
        <sz val="11"/>
        <color theme="1"/>
        <rFont val="Montserrat Medium"/>
        <charset val="1"/>
      </rPr>
      <t>storage</t>
    </r>
  </si>
  <si>
    <t>Anpassad för applikationer som aktivt använder S3-protokollet.</t>
  </si>
  <si>
    <t>S3 Archive</t>
  </si>
  <si>
    <t>Per TB/månad</t>
  </si>
  <si>
    <t>S3-archive</t>
  </si>
  <si>
    <t>TB</t>
  </si>
  <si>
    <t>0 - 49</t>
  </si>
  <si>
    <t>50 - 99</t>
  </si>
  <si>
    <t>100 - 499</t>
  </si>
  <si>
    <t>500 - 999</t>
  </si>
  <si>
    <t xml:space="preserve">1000 - </t>
  </si>
  <si>
    <t xml:space="preserve">  Totalt</t>
  </si>
  <si>
    <r>
      <t>Safespring Backup</t>
    </r>
    <r>
      <rPr>
        <sz val="48"/>
        <color theme="8" tint="0.59999389629810485"/>
        <rFont val="Hind Light"/>
        <charset val="1"/>
      </rPr>
      <t xml:space="preserve"> | SP</t>
    </r>
  </si>
  <si>
    <t>Backup-lösning i cloud för lokala servrar eller molnservrar baserad på Spectrum Protect (TSM).</t>
  </si>
  <si>
    <t>Alla priser angivna i SEK, exklusive moms.</t>
  </si>
  <si>
    <r>
      <rPr>
        <sz val="11"/>
        <color theme="1"/>
        <rFont val="Montserrat Medium"/>
        <charset val="1"/>
      </rPr>
      <t xml:space="preserve">Instruktioner: </t>
    </r>
    <r>
      <rPr>
        <sz val="11"/>
        <color theme="1"/>
        <rFont val="Montserrat Light"/>
        <charset val="1"/>
      </rPr>
      <t xml:space="preserve">Fyll i önskad kvantitet i de färgade fälten. </t>
    </r>
  </si>
  <si>
    <t>Fast månadspris</t>
  </si>
  <si>
    <t>Per GB i 30 dagar</t>
  </si>
  <si>
    <t>Antal GB</t>
  </si>
  <si>
    <r>
      <rPr>
        <sz val="14"/>
        <color theme="4"/>
        <rFont val="Hind Light"/>
        <charset val="1"/>
      </rPr>
      <t>Deduplicering</t>
    </r>
    <r>
      <rPr>
        <vertAlign val="superscript"/>
        <sz val="14"/>
        <color theme="6"/>
        <rFont val="Montserrat SemiBold"/>
        <charset val="1"/>
      </rPr>
      <t xml:space="preserve"> </t>
    </r>
    <r>
      <rPr>
        <vertAlign val="superscript"/>
        <sz val="11"/>
        <color theme="6"/>
        <rFont val="Montserrat SemiBold"/>
        <charset val="1"/>
      </rPr>
      <t>1</t>
    </r>
  </si>
  <si>
    <t>Backup</t>
  </si>
  <si>
    <r>
      <rPr>
        <sz val="10"/>
        <color theme="1" tint="0.39997558519241921"/>
        <rFont val="Montserrat Medium"/>
        <charset val="1"/>
      </rPr>
      <t>BAAS-</t>
    </r>
    <r>
      <rPr>
        <sz val="11"/>
        <color theme="1"/>
        <rFont val="Montserrat Medium"/>
        <charset val="1"/>
      </rPr>
      <t xml:space="preserve">on.demand </t>
    </r>
    <r>
      <rPr>
        <vertAlign val="superscript"/>
        <sz val="11"/>
        <color theme="6"/>
        <rFont val="Montserrat SemiBold"/>
        <charset val="1"/>
      </rPr>
      <t>2</t>
    </r>
  </si>
  <si>
    <r>
      <rPr>
        <sz val="10"/>
        <color theme="1" tint="0.39997558519241921"/>
        <rFont val="Montserrat Medium"/>
        <charset val="1"/>
      </rPr>
      <t>BAAS-</t>
    </r>
    <r>
      <rPr>
        <sz val="11"/>
        <color theme="1"/>
        <rFont val="Montserrat Medium"/>
        <charset val="1"/>
      </rPr>
      <t xml:space="preserve">small </t>
    </r>
    <r>
      <rPr>
        <vertAlign val="superscript"/>
        <sz val="11"/>
        <color theme="6"/>
        <rFont val="Montserrat SemiBold"/>
        <charset val="1"/>
      </rPr>
      <t>3</t>
    </r>
  </si>
  <si>
    <r>
      <rPr>
        <sz val="10"/>
        <color theme="1" tint="0.39997558519241921"/>
        <rFont val="Montserrat Medium"/>
        <charset val="1"/>
      </rPr>
      <t>BAAS-</t>
    </r>
    <r>
      <rPr>
        <sz val="11"/>
        <color theme="1"/>
        <rFont val="Montserrat Medium"/>
        <charset val="1"/>
      </rPr>
      <t xml:space="preserve">large </t>
    </r>
    <r>
      <rPr>
        <vertAlign val="superscript"/>
        <sz val="11"/>
        <color theme="6"/>
        <rFont val="Montserrat SemiBold"/>
        <charset val="1"/>
      </rPr>
      <t>4</t>
    </r>
  </si>
  <si>
    <t>Compliant Kubernetes</t>
  </si>
  <si>
    <t xml:space="preserve">Kör Compliant Kubernetes som en managerad tjänst. </t>
  </si>
  <si>
    <t>Safespring Compute tillkommer. Vi kan tillsammans med er räkna ut ert pris.</t>
  </si>
  <si>
    <t>Support-tider</t>
  </si>
  <si>
    <t>Tillgänglighet</t>
  </si>
  <si>
    <t>Pris</t>
  </si>
  <si>
    <r>
      <rPr>
        <sz val="10"/>
        <color theme="1" tint="0.39997558519241921"/>
        <rFont val="Montserrat Medium"/>
        <charset val="1"/>
      </rPr>
      <t>PAAS</t>
    </r>
    <r>
      <rPr>
        <sz val="10"/>
        <color theme="1"/>
        <rFont val="Montserrat Medium"/>
        <charset val="1"/>
      </rPr>
      <t>-</t>
    </r>
    <r>
      <rPr>
        <sz val="11"/>
        <color theme="1"/>
        <rFont val="Montserrat Medium"/>
        <charset val="1"/>
      </rPr>
      <t>man.kubernetes8</t>
    </r>
  </si>
  <si>
    <t>08:00 - 17:00</t>
  </si>
  <si>
    <t>Vardagar</t>
  </si>
  <si>
    <r>
      <rPr>
        <sz val="10"/>
        <color theme="1" tint="0.39997558519241921"/>
        <rFont val="Montserrat Medium"/>
        <charset val="1"/>
      </rPr>
      <t>PAAS-</t>
    </r>
    <r>
      <rPr>
        <sz val="11"/>
        <color theme="1"/>
        <rFont val="Montserrat Medium"/>
        <charset val="1"/>
      </rPr>
      <t>man.kubernetes24</t>
    </r>
  </si>
  <si>
    <t>Dygnet runt</t>
  </si>
  <si>
    <t>Alla dagar</t>
  </si>
  <si>
    <t>Nätverk och programvara</t>
  </si>
  <si>
    <t>Nätverk</t>
  </si>
  <si>
    <t>Safespring erbjuder flera nätverkstjänster.</t>
  </si>
  <si>
    <t xml:space="preserve"> Typ</t>
  </si>
  <si>
    <t>Debitering per</t>
  </si>
  <si>
    <t>Per månad</t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</si>
  <si>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publicv4</t>
    </r>
  </si>
  <si>
    <t>IPv4</t>
  </si>
  <si>
    <t>Publik</t>
  </si>
  <si>
    <t>IP-adress</t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</si>
  <si>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publicv6</t>
    </r>
  </si>
  <si>
    <t>IPv6</t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</si>
  <si>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ingress</t>
    </r>
  </si>
  <si>
    <t>Datatrafik</t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</si>
  <si>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egress</t>
    </r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</si>
  <si>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mgn.slb</t>
    </r>
  </si>
  <si>
    <t xml:space="preserve">Managed SLB </t>
  </si>
  <si>
    <t xml:space="preserve">Instans </t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</si>
  <si>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rdns</t>
    </r>
  </si>
  <si>
    <t>Reverse DNS names</t>
  </si>
  <si>
    <r>
      <rPr>
        <sz val="10"/>
        <color theme="1" tint="0.39997558519241921"/>
        <rFont val="Montserrat Medium"/>
        <charset val="1"/>
      </rPr>
      <t>NET-</t>
    </r>
    <r>
      <rPr>
        <sz val="11"/>
        <color theme="1"/>
        <rFont val="Montserrat Medium"/>
        <charset val="1"/>
      </rPr>
      <t>byoip</t>
    </r>
  </si>
  <si>
    <t>Bring your own IP prefixes</t>
  </si>
  <si>
    <t>Programvara och licenser</t>
  </si>
  <si>
    <t>Safespring erbjuder flera programvaror och licenser.</t>
  </si>
  <si>
    <r>
      <rPr>
        <sz val="10"/>
        <color theme="1" tint="0.39997558519241921"/>
        <rFont val="Montserrat Medium"/>
        <charset val="1"/>
      </rPr>
      <t>SW-</t>
    </r>
    <r>
      <rPr>
        <sz val="11"/>
        <color theme="1"/>
        <rFont val="Montserrat Medium"/>
        <charset val="1"/>
      </rPr>
      <t>win.ser.2022</t>
    </r>
  </si>
  <si>
    <t>Microsoft Windows Server</t>
  </si>
  <si>
    <r>
      <rPr>
        <sz val="10"/>
        <color theme="1" tint="0.39997558519241921"/>
        <rFont val="Montserrat Medium"/>
        <charset val="1"/>
      </rPr>
      <t>SW-</t>
    </r>
    <r>
      <rPr>
        <sz val="11"/>
        <color theme="1"/>
        <rFont val="Montserrat Medium"/>
        <charset val="1"/>
      </rPr>
      <t>ms.sql.ser</t>
    </r>
  </si>
  <si>
    <t>Microsoft SQL Server Standard</t>
  </si>
  <si>
    <r>
      <rPr>
        <sz val="10"/>
        <color theme="1" tint="0.39997558519241921"/>
        <rFont val="Montserrat Medium"/>
        <charset val="1"/>
      </rPr>
      <t>SW-</t>
    </r>
    <r>
      <rPr>
        <sz val="11"/>
        <color theme="1"/>
        <rFont val="Montserrat Medium"/>
        <charset val="1"/>
      </rPr>
      <t>ms.sql.ser.ent</t>
    </r>
  </si>
  <si>
    <t>Microsoft SQL Server Enterprise</t>
  </si>
  <si>
    <r>
      <rPr>
        <sz val="10"/>
        <color theme="1" tint="0.39997558519241921"/>
        <rFont val="Montserrat Medium"/>
        <charset val="1"/>
      </rPr>
      <t>SW-</t>
    </r>
    <r>
      <rPr>
        <sz val="11"/>
        <color theme="1"/>
        <rFont val="Montserrat Medium"/>
        <charset val="1"/>
      </rPr>
      <t>nextcloud</t>
    </r>
  </si>
  <si>
    <t>Nextcloud Hub</t>
  </si>
  <si>
    <t>Plattformstjänster</t>
  </si>
  <si>
    <t>Begär offert</t>
  </si>
  <si>
    <t>Support</t>
  </si>
  <si>
    <t>Support gäller för Safespring Compute, Safespring Storage och Safespring Backup.</t>
  </si>
  <si>
    <t>Safespring erbjuder flera supportavtal.</t>
  </si>
  <si>
    <r>
      <rPr>
        <sz val="10"/>
        <color theme="1" tint="0.39997558519241921"/>
        <rFont val="Montserrat Medium"/>
        <charset val="1"/>
      </rPr>
      <t>SUPPORT-</t>
    </r>
    <r>
      <rPr>
        <sz val="11"/>
        <color theme="1"/>
        <rFont val="Montserrat Medium"/>
        <charset val="1"/>
      </rPr>
      <t>base</t>
    </r>
  </si>
  <si>
    <t>Support för Safesprings tjänster</t>
  </si>
  <si>
    <r>
      <rPr>
        <sz val="10"/>
        <color theme="1" tint="0.39997558519241921"/>
        <rFont val="Montserrat Medium"/>
        <charset val="1"/>
      </rPr>
      <t>SUPPORT-</t>
    </r>
    <r>
      <rPr>
        <sz val="11"/>
        <color theme="1"/>
        <rFont val="Montserrat Medium"/>
        <charset val="1"/>
      </rPr>
      <t>standard</t>
    </r>
  </si>
  <si>
    <t>Tillgång till chatt-rum med support och tekniker</t>
  </si>
  <si>
    <t>Total volym</t>
  </si>
  <si>
    <r>
      <t xml:space="preserve">3 % av total volym </t>
    </r>
    <r>
      <rPr>
        <vertAlign val="superscript"/>
        <sz val="11"/>
        <color theme="6"/>
        <rFont val="Montserrat SemiBold"/>
        <charset val="1"/>
      </rPr>
      <t>5</t>
    </r>
  </si>
  <si>
    <r>
      <rPr>
        <sz val="10"/>
        <color theme="1" tint="0.39997558519241921"/>
        <rFont val="Montserrat Medium"/>
        <charset val="1"/>
      </rPr>
      <t>SUPPORT-</t>
    </r>
    <r>
      <rPr>
        <sz val="11"/>
        <color theme="1"/>
        <rFont val="Montserrat Medium"/>
        <charset val="1"/>
      </rPr>
      <t>premium</t>
    </r>
  </si>
  <si>
    <t>Dedikerad servicechef med kvartalsvisa driftsmöten</t>
  </si>
  <si>
    <t>Timme</t>
  </si>
  <si>
    <t>Konsulttjänster</t>
  </si>
  <si>
    <t>Safespring erbjuder flera konsulttjänster.</t>
  </si>
  <si>
    <r>
      <rPr>
        <sz val="10"/>
        <color theme="1" tint="0.39997558519241921"/>
        <rFont val="Montserrat Medium"/>
        <charset val="1"/>
      </rPr>
      <t>PS-</t>
    </r>
    <r>
      <rPr>
        <sz val="11"/>
        <color theme="1"/>
        <rFont val="Montserrat Medium"/>
        <charset val="1"/>
      </rPr>
      <t>consult.jun</t>
    </r>
  </si>
  <si>
    <t>Cloud Infrastructure Consultant, junior expertise level</t>
  </si>
  <si>
    <r>
      <rPr>
        <sz val="10"/>
        <color theme="1" tint="0.39997558519241921"/>
        <rFont val="Montserrat Medium"/>
        <charset val="1"/>
      </rPr>
      <t>PS-</t>
    </r>
    <r>
      <rPr>
        <sz val="11"/>
        <color theme="1"/>
        <rFont val="Montserrat Medium"/>
        <charset val="1"/>
      </rPr>
      <t>consult.sen</t>
    </r>
  </si>
  <si>
    <t>Cloud infrastructure Consultant, senior expertise level</t>
  </si>
  <si>
    <r>
      <rPr>
        <sz val="10"/>
        <color theme="1" tint="0.39997558519241921"/>
        <rFont val="Montserrat Medium"/>
        <charset val="1"/>
      </rPr>
      <t>PS-</t>
    </r>
    <r>
      <rPr>
        <sz val="11"/>
        <color theme="1"/>
        <rFont val="Montserrat Medium"/>
        <charset val="1"/>
      </rPr>
      <t>cloudarch.jun</t>
    </r>
  </si>
  <si>
    <t>Cloud Infrastructure Architect Consultant, junior expertise level</t>
  </si>
  <si>
    <r>
      <rPr>
        <sz val="10"/>
        <color theme="1" tint="0.39997558519241921"/>
        <rFont val="Montserrat Medium"/>
        <charset val="1"/>
      </rPr>
      <t>PS-</t>
    </r>
    <r>
      <rPr>
        <sz val="11"/>
        <color theme="1"/>
        <rFont val="Montserrat Medium"/>
        <charset val="1"/>
      </rPr>
      <t>cloudarch.sen</t>
    </r>
  </si>
  <si>
    <t>Cloud Infrastructure Architect Consultant, senior expertise level</t>
  </si>
  <si>
    <r>
      <rPr>
        <sz val="10"/>
        <color theme="1" tint="0.39997558519241921"/>
        <rFont val="Montserrat Medium"/>
        <charset val="1"/>
      </rPr>
      <t>PS-</t>
    </r>
    <r>
      <rPr>
        <sz val="11"/>
        <color theme="1"/>
        <rFont val="Montserrat Medium"/>
        <charset val="1"/>
      </rPr>
      <t>pm.jun</t>
    </r>
  </si>
  <si>
    <t>Project Manager, junior expertise level</t>
  </si>
  <si>
    <r>
      <rPr>
        <sz val="10"/>
        <color theme="1" tint="0.39997558519241921"/>
        <rFont val="Montserrat Medium"/>
        <charset val="1"/>
      </rPr>
      <t>PS-</t>
    </r>
    <r>
      <rPr>
        <sz val="11"/>
        <color theme="1"/>
        <rFont val="Montserrat Medium"/>
        <charset val="1"/>
      </rPr>
      <t>pm.sen</t>
    </r>
  </si>
  <si>
    <t>Project Manager, senior expertise level</t>
  </si>
  <si>
    <t>Utbildningar</t>
  </si>
  <si>
    <t>Safespring erbjuder flera utbildningar inom IaaS och molntjänster.</t>
  </si>
  <si>
    <t>Längd</t>
  </si>
  <si>
    <r>
      <rPr>
        <sz val="10"/>
        <color theme="1" tint="0.39997558519241921"/>
        <rFont val="Montserrat Medium"/>
        <charset val="1"/>
      </rPr>
      <t>COURSE-</t>
    </r>
    <r>
      <rPr>
        <sz val="11"/>
        <color theme="1"/>
        <rFont val="Montserrat Medium"/>
        <charset val="1"/>
      </rPr>
      <t>intro.iaas</t>
    </r>
  </si>
  <si>
    <t>Introduktion till "infrastruktur som tjänst"</t>
  </si>
  <si>
    <t>En dag</t>
  </si>
  <si>
    <t>Tillfälle</t>
  </si>
  <si>
    <r>
      <rPr>
        <sz val="10"/>
        <color theme="1" tint="0.39997558519241921"/>
        <rFont val="Montserrat Medium"/>
        <charset val="1"/>
      </rPr>
      <t>COURSE-</t>
    </r>
    <r>
      <rPr>
        <sz val="11"/>
        <color theme="1"/>
        <rFont val="Montserrat Medium"/>
        <charset val="1"/>
      </rPr>
      <t>cxo.strategy</t>
    </r>
  </si>
  <si>
    <t>Molnstrategi för ledningsgrupper</t>
  </si>
  <si>
    <r>
      <rPr>
        <sz val="10"/>
        <color theme="1" tint="0.39997558519241921"/>
        <rFont val="Montserrat Medium"/>
        <charset val="1"/>
      </rPr>
      <t>COURSE-</t>
    </r>
    <r>
      <rPr>
        <sz val="11"/>
        <color theme="1"/>
        <rFont val="Montserrat Medium"/>
        <charset val="1"/>
      </rPr>
      <t>intro.cloud</t>
    </r>
  </si>
  <si>
    <t>Introduktion till moln-infrastrukturteknik</t>
  </si>
  <si>
    <t>Fyra dagar</t>
  </si>
  <si>
    <r>
      <rPr>
        <sz val="10"/>
        <color theme="1" tint="0.39997558519241921"/>
        <rFont val="Montserrat Medium"/>
        <charset val="1"/>
      </rPr>
      <t>COURSE-</t>
    </r>
    <r>
      <rPr>
        <sz val="11"/>
        <color theme="1"/>
        <rFont val="Montserrat Medium"/>
        <charset val="1"/>
      </rPr>
      <t>devops.microservices</t>
    </r>
  </si>
  <si>
    <t>Modern DevOps och "microservices"</t>
  </si>
  <si>
    <t>Månadskostnad</t>
  </si>
  <si>
    <t xml:space="preserve"> Kontakta Safespring för en fullständig offert</t>
  </si>
  <si>
    <t>Produkt</t>
  </si>
  <si>
    <t>Safespring Compute</t>
  </si>
  <si>
    <t>Safespring Storage</t>
  </si>
  <si>
    <t>Safespring Backup</t>
  </si>
  <si>
    <r>
      <rPr>
        <sz val="10"/>
        <color theme="6"/>
        <rFont val="Montserrat SemiBold"/>
        <charset val="1"/>
      </rPr>
      <t>1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Dedup är en datareduktion som görs i tjänsten. Beroende på data varierar det normalt mellan 45 % - 90 %.</t>
    </r>
  </si>
  <si>
    <r>
      <rPr>
        <sz val="10"/>
        <color theme="6"/>
        <rFont val="Montserrat SemiBold"/>
        <charset val="1"/>
      </rPr>
      <t xml:space="preserve">2 </t>
    </r>
    <r>
      <rPr>
        <i/>
        <sz val="10"/>
        <color theme="1"/>
        <rFont val="Montserrat Light"/>
        <charset val="1"/>
      </rPr>
      <t xml:space="preserve">Priset är per skyddad GB på klienten. </t>
    </r>
  </si>
  <si>
    <r>
      <rPr>
        <sz val="10"/>
        <color theme="6"/>
        <rFont val="Montserrat SemiBold"/>
        <charset val="1"/>
      </rPr>
      <t>3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 xml:space="preserve">Priset är per lagrad GB i tjänsten efter deduplicering och komprimering. Det ingår 1 000 GB i det fasta månadspriset. </t>
    </r>
  </si>
  <si>
    <r>
      <rPr>
        <sz val="10"/>
        <color theme="6"/>
        <rFont val="Montserrat SemiBold"/>
        <charset val="1"/>
      </rPr>
      <t>4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 xml:space="preserve">Priset är per lagrad GB i tjänsten efter deduplicering och komprimering. </t>
    </r>
  </si>
  <si>
    <r>
      <rPr>
        <sz val="10"/>
        <color theme="6"/>
        <rFont val="Montserrat SemiBold"/>
        <charset val="1"/>
      </rPr>
      <t>5</t>
    </r>
    <r>
      <rPr>
        <sz val="10"/>
        <color theme="1"/>
        <rFont val="Montserrat SemiBold"/>
        <charset val="1"/>
      </rPr>
      <t xml:space="preserve"> </t>
    </r>
    <r>
      <rPr>
        <i/>
        <sz val="10"/>
        <color theme="1"/>
        <rFont val="Montserrat Light"/>
        <charset val="1"/>
      </rPr>
      <t>Supportavgiften debiteras med 3 % av den totala volymen med en lägsta avgift på 1500 SEK per månad.</t>
    </r>
  </si>
  <si>
    <t>Priskalkulator 2024-05-06</t>
  </si>
  <si>
    <t>Kontakt Safespring</t>
  </si>
  <si>
    <t>Telefon: +47 35 68 88 70</t>
  </si>
  <si>
    <r>
      <t xml:space="preserve">Safespring Compute </t>
    </r>
    <r>
      <rPr>
        <sz val="48"/>
        <color theme="4"/>
        <rFont val="Hind Light"/>
        <charset val="1"/>
      </rPr>
      <t>| IaaS</t>
    </r>
  </si>
  <si>
    <t>Infrastruktur kan kjøres med en Open Source-lisens eller med en Windows-lisens.</t>
  </si>
  <si>
    <t>Alle priser er oppgitt i NOK, eks mva.</t>
  </si>
  <si>
    <r>
      <t xml:space="preserve">Instruksjoner: </t>
    </r>
    <r>
      <rPr>
        <sz val="11"/>
        <color theme="1"/>
        <rFont val="Montserrat Light"/>
        <charset val="1"/>
      </rPr>
      <t>Angi ønsket antall i de fargede feltene.</t>
    </r>
  </si>
  <si>
    <r>
      <t>Sentral blokklagring kan kjøpes til innsatsene. Se "</t>
    </r>
    <r>
      <rPr>
        <sz val="9"/>
        <color theme="5"/>
        <rFont val="Montserrat SemiBold"/>
        <charset val="1"/>
      </rPr>
      <t>Sentral blokklagring</t>
    </r>
    <r>
      <rPr>
        <sz val="9"/>
        <color theme="1"/>
        <rFont val="Montserrat Light"/>
        <charset val="1"/>
      </rPr>
      <t>" i prislisten.</t>
    </r>
  </si>
  <si>
    <t>Per time</t>
  </si>
  <si>
    <t>Per 30 dager</t>
  </si>
  <si>
    <t>Antall</t>
  </si>
  <si>
    <t>Central blocklagring kan köpas till instansene. Se "Central blocklagring" i prislistan.</t>
  </si>
  <si>
    <t>Sentral blokklagring</t>
  </si>
  <si>
    <t>Sentral blokklagring gir tre kopier av dataene distribuert i en robust CEPH-klynge.</t>
  </si>
  <si>
    <t>Beskrivelse</t>
  </si>
  <si>
    <t>Antall (GB)</t>
  </si>
  <si>
    <r>
      <t xml:space="preserve">Safespring Storage </t>
    </r>
    <r>
      <rPr>
        <sz val="48"/>
        <color theme="4"/>
        <rFont val="Hind Light"/>
        <charset val="1"/>
      </rPr>
      <t>| S3</t>
    </r>
  </si>
  <si>
    <t>Kontakt oss for rabatter på større lagringsmengder. Prismodell basert på antall lagrede TB per måned.</t>
  </si>
  <si>
    <t>Alle priser er oppgitt i NOK, eks mva</t>
  </si>
  <si>
    <t>Per TB i 30 dager</t>
  </si>
  <si>
    <t>Antall (TB)</t>
  </si>
  <si>
    <r>
      <t xml:space="preserve">Safespring Backup </t>
    </r>
    <r>
      <rPr>
        <sz val="48"/>
        <color theme="4"/>
        <rFont val="Hind Light"/>
        <charset val="1"/>
      </rPr>
      <t>| SP</t>
    </r>
  </si>
  <si>
    <t>Cloud backup-løsning for on-prem eller skyservere basert på Spectrum Protect (TSM).</t>
  </si>
  <si>
    <t>Fast månedlig pris</t>
  </si>
  <si>
    <t>Per GB i 30 dager</t>
  </si>
  <si>
    <r>
      <rPr>
        <sz val="14"/>
        <color theme="4"/>
        <rFont val="Hind Light"/>
        <charset val="1"/>
      </rPr>
      <t>Deduplisering</t>
    </r>
    <r>
      <rPr>
        <vertAlign val="superscript"/>
        <sz val="14"/>
        <color theme="6"/>
        <rFont val="Montserrat SemiBold"/>
        <charset val="1"/>
      </rPr>
      <t xml:space="preserve"> </t>
    </r>
    <r>
      <rPr>
        <vertAlign val="superscript"/>
        <sz val="11"/>
        <color theme="6"/>
        <rFont val="Montserrat SemiBold"/>
        <charset val="1"/>
      </rPr>
      <t>1</t>
    </r>
  </si>
  <si>
    <t>Kjør Compliant Kubernetes som en administrert tjeneste. Safespring Compute vil bli lagt til.</t>
  </si>
  <si>
    <t>Safespring Compute vil bli lagt til. Vi kan samarbeide med deg for å beregne prisen.</t>
  </si>
  <si>
    <r>
      <t xml:space="preserve">Instruksjoner: </t>
    </r>
    <r>
      <rPr>
        <sz val="11"/>
        <color theme="1"/>
        <rFont val="Montserrat Light"/>
        <charset val="1"/>
      </rPr>
      <t>Gjør et valg i de fargede feltene.</t>
    </r>
  </si>
  <si>
    <t>Støttetider</t>
  </si>
  <si>
    <t>Tilgjengelighet</t>
  </si>
  <si>
    <t>Hverdager</t>
  </si>
  <si>
    <t>Døgnet rundt</t>
  </si>
  <si>
    <t>Alle dager</t>
  </si>
  <si>
    <t>Nettverk og programvare</t>
  </si>
  <si>
    <t>Nettverk</t>
  </si>
  <si>
    <t>Safespring tilbyr flere nettverkstjenester.</t>
  </si>
  <si>
    <t>Type</t>
  </si>
  <si>
    <t>Fakturering pr</t>
  </si>
  <si>
    <t>Per måned</t>
  </si>
  <si>
    <t>Public</t>
  </si>
  <si>
    <t>Datatrafikk</t>
  </si>
  <si>
    <t>Programvare og lisenser</t>
  </si>
  <si>
    <t>Safespring tilbyr flere programvarer og lisenser.</t>
  </si>
  <si>
    <t>Support gjelder Safespring Compute, Safespring Storage og Safespring Backup.</t>
  </si>
  <si>
    <t>Safespring tilbyr flere support-avtaler.</t>
  </si>
  <si>
    <t>Support til Safesprings tjenester</t>
  </si>
  <si>
    <t>Tilgang til chatte-rom med support og tekniker</t>
  </si>
  <si>
    <t>Total volum</t>
  </si>
  <si>
    <r>
      <t xml:space="preserve">3 % av total volum </t>
    </r>
    <r>
      <rPr>
        <vertAlign val="superscript"/>
        <sz val="11"/>
        <color theme="6"/>
        <rFont val="Montserrat SemiBold"/>
        <charset val="1"/>
      </rPr>
      <t>5</t>
    </r>
  </si>
  <si>
    <t>Dedikert servicesjef med kvartalsvise driftsmøter</t>
  </si>
  <si>
    <t>Konsulttjenester</t>
  </si>
  <si>
    <t>Safespring tilbyr flere konsulttjenester.</t>
  </si>
  <si>
    <t>Utdanninger</t>
  </si>
  <si>
    <t>Safespring tilbyr flere utdanninger innen IaaS og cloud.</t>
  </si>
  <si>
    <t>Varighet</t>
  </si>
  <si>
    <t>Introduksjon til "infrastruktur som en tjeneste"</t>
  </si>
  <si>
    <t>Stykk</t>
  </si>
  <si>
    <t>Cloud-strategi for ledergrupper</t>
  </si>
  <si>
    <t>Introduksjon til cloud-infrastrukturteknologi</t>
  </si>
  <si>
    <t>Fire dager</t>
  </si>
  <si>
    <t>Moderne DevOps og "microservices"</t>
  </si>
  <si>
    <t>Månedlig kostnad</t>
  </si>
  <si>
    <t>Kontakt Safespring for et komplett tilbud</t>
  </si>
  <si>
    <t>Telefon: 35 68 88 70</t>
  </si>
  <si>
    <r>
      <rPr>
        <sz val="10"/>
        <color theme="6"/>
        <rFont val="Montserrat SemiBold"/>
        <charset val="1"/>
      </rPr>
      <t>1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Dedup er en datareduksjon gjort i tjenesten. Avhengig av dataene varierer det normalt mellom 45 % - 90 %</t>
    </r>
  </si>
  <si>
    <r>
      <rPr>
        <sz val="10"/>
        <color theme="6"/>
        <rFont val="Montserrat SemiBold"/>
        <charset val="1"/>
      </rPr>
      <t xml:space="preserve">2 </t>
    </r>
    <r>
      <rPr>
        <i/>
        <sz val="10"/>
        <color theme="1"/>
        <rFont val="Montserrat Light"/>
        <charset val="1"/>
      </rPr>
      <t>Prisen er per beskyttet GB på klienten.</t>
    </r>
  </si>
  <si>
    <r>
      <rPr>
        <sz val="10"/>
        <color theme="6"/>
        <rFont val="Montserrat SemiBold"/>
        <charset val="1"/>
      </rPr>
      <t>3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Prisen er per lagret GB i tjenesten etter deduplisering og komprimering. 1000 GB er inkludert i den faste månedsprisen.</t>
    </r>
  </si>
  <si>
    <r>
      <rPr>
        <sz val="10"/>
        <color theme="6"/>
        <rFont val="Montserrat SemiBold"/>
        <charset val="1"/>
      </rPr>
      <t>4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Prisen er per lagret GB i tjenesten etter deduplisering og komprimering.</t>
    </r>
  </si>
  <si>
    <r>
      <rPr>
        <sz val="10"/>
        <color theme="5"/>
        <rFont val="Montserrat SemiBold"/>
        <charset val="1"/>
      </rPr>
      <t xml:space="preserve">5 </t>
    </r>
    <r>
      <rPr>
        <i/>
        <sz val="10"/>
        <color theme="1"/>
        <rFont val="Montserrat Light"/>
        <charset val="1"/>
      </rPr>
      <t>Supportavgiften er 3 % av det totale volumet, med en minimumsavgift på 1500 NOK per måned.</t>
    </r>
  </si>
  <si>
    <t>Contact Safespring</t>
  </si>
  <si>
    <t>Currency</t>
  </si>
  <si>
    <t>All prices are in EUR, excluding VAT.</t>
  </si>
  <si>
    <t>Product ID</t>
  </si>
  <si>
    <t>Hourly</t>
  </si>
  <si>
    <t>Infrastructure</t>
  </si>
  <si>
    <t>Total</t>
  </si>
  <si>
    <t>Monthly</t>
  </si>
  <si>
    <t>INSTANCE-p1.2xlarge.16d</t>
  </si>
  <si>
    <t>INSTANCE-p1.4xlarge.16d</t>
  </si>
  <si>
    <t>INSTANCE-p1.8xlarge.32d</t>
  </si>
  <si>
    <t>Description</t>
  </si>
  <si>
    <t>VOLUME-large</t>
  </si>
  <si>
    <t>VOLUME-fast</t>
  </si>
  <si>
    <t>Network and software</t>
  </si>
  <si>
    <t>Network</t>
  </si>
  <si>
    <t xml:space="preserve"> Type</t>
  </si>
  <si>
    <t>NET-publicv4</t>
  </si>
  <si>
    <t>NET-publicv6</t>
  </si>
  <si>
    <t>NET-ingress</t>
  </si>
  <si>
    <t>Data transfer</t>
  </si>
  <si>
    <t>NET-egress</t>
  </si>
  <si>
    <t>NET-mgn.slb</t>
  </si>
  <si>
    <t>Instance</t>
  </si>
  <si>
    <t>NET-rdns</t>
  </si>
  <si>
    <t>NET-byoip</t>
  </si>
  <si>
    <t>SW-ms.sql.ser</t>
  </si>
  <si>
    <t>SW-stackn</t>
  </si>
  <si>
    <t>SW-nextcloud</t>
  </si>
  <si>
    <t>SW-cluster.control</t>
  </si>
  <si>
    <t>SW-backup.ninja</t>
  </si>
  <si>
    <t>PAAS-man.kubernetes24</t>
  </si>
  <si>
    <t>PAAS-man.kubernetes8</t>
  </si>
  <si>
    <t>PAAS-man.elasticsearch</t>
  </si>
  <si>
    <t>PAAS-man.redis</t>
  </si>
  <si>
    <t>PAAS-man.nats</t>
  </si>
  <si>
    <t>PAAS-man.mariadb</t>
  </si>
  <si>
    <t>Total volume</t>
  </si>
  <si>
    <t>Dedicated Service Manager with quarterly operations meetings</t>
  </si>
  <si>
    <t>Hour</t>
  </si>
  <si>
    <t>PS-consult.jun</t>
  </si>
  <si>
    <t>PS-consult.sen</t>
  </si>
  <si>
    <t>PS-cloudarch.jun</t>
  </si>
  <si>
    <t>PS-cloudarch.sen</t>
  </si>
  <si>
    <t>PS-pm.jun</t>
  </si>
  <si>
    <t>PS-pm.sen</t>
  </si>
  <si>
    <t>Duration</t>
  </si>
  <si>
    <t>Price</t>
  </si>
  <si>
    <t>One day</t>
  </si>
  <si>
    <t>Introduction to "infrastructure as a service"</t>
  </si>
  <si>
    <t>Occasion</t>
  </si>
  <si>
    <t>Four days</t>
  </si>
  <si>
    <t>Time</t>
  </si>
  <si>
    <t>Konsulenttjenester</t>
  </si>
  <si>
    <t>SEK</t>
  </si>
  <si>
    <t xml:space="preserve"> Totalt</t>
  </si>
  <si>
    <t>Prisberegner 2024-05-06</t>
  </si>
  <si>
    <t>Telefon: +46 8-55 10 73 56</t>
  </si>
  <si>
    <t>Fakturaen vil være i DKK, hvor den gennemsnitlige valutakurs, baseret på valutakurserne fra ECB, pr. måned bruges til at beregne priserne.</t>
  </si>
  <si>
    <t>Infrastruktur kan køre med en Open Source-licens eller med en Windows-licens.</t>
  </si>
  <si>
    <t>Alle priser er i EUR, eksklusive moms. Fakturaen vil være i DKK, hvor den gennemsnitlige valutakurs, baseret på valutakurserne fra ECB, pr. måned bruges til at beregne priserne.</t>
  </si>
  <si>
    <r>
      <t xml:space="preserve">Vejledning: </t>
    </r>
    <r>
      <rPr>
        <sz val="11"/>
        <color theme="1"/>
        <rFont val="Montserrat Light"/>
        <charset val="1"/>
      </rPr>
      <t>Udfyld det ønskede antal i de farvede felter.</t>
    </r>
  </si>
  <si>
    <r>
      <t>Central bloklagring kan købes til instanserne. Se "</t>
    </r>
    <r>
      <rPr>
        <sz val="9"/>
        <color theme="5"/>
        <rFont val="Montserrat SemiBold"/>
        <charset val="1"/>
      </rPr>
      <t>Central bloklagring</t>
    </r>
    <r>
      <rPr>
        <sz val="9"/>
        <color theme="1"/>
        <rFont val="Montserrat Light"/>
        <charset val="1"/>
      </rPr>
      <t>" i prislisten.</t>
    </r>
  </si>
  <si>
    <r>
      <t xml:space="preserve">RAM </t>
    </r>
    <r>
      <rPr>
        <sz val="11"/>
        <color theme="4"/>
        <rFont val="Hind Light"/>
        <charset val="1"/>
      </rPr>
      <t>(GB)</t>
    </r>
  </si>
  <si>
    <t>Per 30 dage</t>
  </si>
  <si>
    <t>Flavors uden lokal disk</t>
  </si>
  <si>
    <r>
      <t>Central blocklagring kan köpas till insatserna. Se "</t>
    </r>
    <r>
      <rPr>
        <sz val="9"/>
        <color theme="6"/>
        <rFont val="Montserrat SemiBold"/>
        <charset val="1"/>
      </rPr>
      <t>Central blocklagring</t>
    </r>
    <r>
      <rPr>
        <sz val="9"/>
        <color theme="1"/>
        <rFont val="Montserrat Light"/>
        <charset val="1"/>
      </rPr>
      <t>" i prislistan.</t>
    </r>
  </si>
  <si>
    <t>Central bloklagring</t>
  </si>
  <si>
    <t>Central bloklagring giver tre kopier af data fordelt i en robust CEPH-klynge.</t>
  </si>
  <si>
    <t>Antal (GB)</t>
  </si>
  <si>
    <t>Kontakt os for rabatter på større lagermængder. Prismodellen er baseret på antallet af lagrede TB pr. måned.</t>
  </si>
  <si>
    <t>Per TB i 30 dage</t>
  </si>
  <si>
    <t>Antal (TB)</t>
  </si>
  <si>
    <t>Cloud backup-løsning for lokale servere eller cloud-servere baseret på Spectrum Protect (TSM).</t>
  </si>
  <si>
    <t>Per GB i 30 dage</t>
  </si>
  <si>
    <r>
      <rPr>
        <sz val="12"/>
        <color theme="4"/>
        <rFont val="Hind Light"/>
        <charset val="1"/>
      </rPr>
      <t>Deduplicering</t>
    </r>
    <r>
      <rPr>
        <sz val="14"/>
        <color theme="4"/>
        <rFont val="Hind Light"/>
        <charset val="1"/>
      </rPr>
      <t xml:space="preserve"> </t>
    </r>
    <r>
      <rPr>
        <vertAlign val="superscript"/>
        <sz val="14"/>
        <color theme="6"/>
        <rFont val="Montserrat SemiBold"/>
        <charset val="1"/>
      </rPr>
      <t xml:space="preserve"> </t>
    </r>
    <r>
      <rPr>
        <vertAlign val="superscript"/>
        <sz val="11"/>
        <color theme="6"/>
        <rFont val="Montserrat SemiBold"/>
        <charset val="1"/>
      </rPr>
      <t>1</t>
    </r>
  </si>
  <si>
    <t>Run Compliant Kubernetes as a managed service. Safespring Compute will be added.</t>
  </si>
  <si>
    <t>Safespring Compute will be added. We can work with you to calculate your price.</t>
  </si>
  <si>
    <r>
      <t xml:space="preserve">Instructions: </t>
    </r>
    <r>
      <rPr>
        <sz val="11"/>
        <color theme="1"/>
        <rFont val="Montserrat Light"/>
        <charset val="1"/>
      </rPr>
      <t>Fill in the desired quantity in the colored fields.</t>
    </r>
  </si>
  <si>
    <t>Support hours</t>
  </si>
  <si>
    <t>Availability</t>
  </si>
  <si>
    <t>Fixed monthly price</t>
  </si>
  <si>
    <t>Weekdays</t>
  </si>
  <si>
    <t>Around the clock</t>
  </si>
  <si>
    <t>All days</t>
  </si>
  <si>
    <t>Netværk og software</t>
  </si>
  <si>
    <t>Safespring tilbyder flere netværkstjenester.</t>
  </si>
  <si>
    <t>Fakturering pr.</t>
  </si>
  <si>
    <t>Pr. måned</t>
  </si>
  <si>
    <t>IP-adresse</t>
  </si>
  <si>
    <t>Dataoverførsel</t>
  </si>
  <si>
    <t>Instans</t>
  </si>
  <si>
    <t>Software og licenser</t>
  </si>
  <si>
    <t>Safespring tilbyder flere software og licenser.</t>
  </si>
  <si>
    <t>Support gælder for Safespring Compute, Safespring Storage og Safespring Backup.</t>
  </si>
  <si>
    <t>Safespring tilbyder flere support-aftaler.</t>
  </si>
  <si>
    <t>Adgang til chat-rum med support og teknikere</t>
  </si>
  <si>
    <t>Total volumen</t>
  </si>
  <si>
    <r>
      <t xml:space="preserve">3 % of total volumen </t>
    </r>
    <r>
      <rPr>
        <vertAlign val="superscript"/>
        <sz val="11"/>
        <color theme="6"/>
        <rFont val="Montserrat SemiBold"/>
        <charset val="1"/>
      </rPr>
      <t>5</t>
    </r>
  </si>
  <si>
    <t>Dedikeret servicechef med kvartalsvise driftsmøder</t>
  </si>
  <si>
    <t>Safespring tilbyder flere konsulenttjenester.</t>
  </si>
  <si>
    <t>Uddannelser</t>
  </si>
  <si>
    <t>Safespring tilbyder flere uddannelser i IaaS og cloud.</t>
  </si>
  <si>
    <t>Varighed</t>
  </si>
  <si>
    <t>Introduktion til "infrastruktur som en tjeneste"</t>
  </si>
  <si>
    <t>Lejlighed</t>
  </si>
  <si>
    <t>Cloud-strategi for ledelsesgrupper</t>
  </si>
  <si>
    <t>Introduktion til cloud-infrastrukturteknologi</t>
  </si>
  <si>
    <t>Fire dage</t>
  </si>
  <si>
    <t>Månedlig omkostning</t>
  </si>
  <si>
    <t>Kontakt Safespring for et komplet tilbud</t>
  </si>
  <si>
    <r>
      <rPr>
        <sz val="10"/>
        <color theme="6"/>
        <rFont val="Montserrat SemiBold"/>
        <charset val="1"/>
      </rPr>
      <t>1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Deduplicering er en datareduktion, der udføres i tjenesten. Afhængigt af data varierer det normalt mellem 45 % - 90 %.</t>
    </r>
  </si>
  <si>
    <r>
      <rPr>
        <sz val="10"/>
        <color theme="6"/>
        <rFont val="Montserrat SemiBold"/>
        <charset val="1"/>
      </rPr>
      <t xml:space="preserve">2 </t>
    </r>
    <r>
      <rPr>
        <i/>
        <sz val="10"/>
        <color theme="1"/>
        <rFont val="Montserrat Light"/>
        <charset val="1"/>
      </rPr>
      <t>Prisen er pr. beskyttet GB på klienten.</t>
    </r>
  </si>
  <si>
    <r>
      <rPr>
        <sz val="10"/>
        <color theme="6"/>
        <rFont val="Montserrat SemiBold"/>
        <charset val="1"/>
      </rPr>
      <t>3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Prisen er pr. GB, der er gemt i tjenesten efter deduplicering og komprimering.</t>
    </r>
  </si>
  <si>
    <r>
      <rPr>
        <sz val="10"/>
        <color theme="6"/>
        <rFont val="Montserrat SemiBold"/>
        <charset val="1"/>
      </rPr>
      <t>4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Prisen er pr. GB, der er gemt i tjenesten efter deduplicering og komprimering. Tjenesten inkluderer 1000 GB i den faste månedlige pris.</t>
    </r>
  </si>
  <si>
    <r>
      <rPr>
        <sz val="10"/>
        <color theme="5"/>
        <rFont val="Montserrat SemiBold"/>
        <charset val="1"/>
      </rPr>
      <t xml:space="preserve">5 </t>
    </r>
    <r>
      <rPr>
        <i/>
        <sz val="10"/>
        <color theme="1"/>
        <rFont val="Montserrat Light"/>
        <charset val="1"/>
      </rPr>
      <t>Supportgebyret udgør 3 % af den samlede volumen med et minimumsgebyr på 150 EUR pr. måned.</t>
    </r>
  </si>
  <si>
    <t>Price calculator 2024-05-06</t>
  </si>
  <si>
    <t>Call us: +46 8-55 10 73 56</t>
  </si>
  <si>
    <t>Infrastructure as a service can run on an open source license or with a Windows license.</t>
  </si>
  <si>
    <t>Flavors with local NVMe storage</t>
  </si>
  <si>
    <r>
      <t>Central block storage can be purchased for the instances. See "</t>
    </r>
    <r>
      <rPr>
        <sz val="9"/>
        <color theme="5"/>
        <rFont val="Montserrat SemiBold"/>
        <charset val="1"/>
      </rPr>
      <t>Central block storage</t>
    </r>
    <r>
      <rPr>
        <sz val="9"/>
        <color theme="1"/>
        <rFont val="Montserrat Light"/>
        <charset val="1"/>
      </rPr>
      <t>" in the price list.</t>
    </r>
  </si>
  <si>
    <t>Local disc (GB)</t>
  </si>
  <si>
    <t>30 days</t>
  </si>
  <si>
    <t>Amount</t>
  </si>
  <si>
    <t>Flavors without local storage</t>
  </si>
  <si>
    <t>Central block storage</t>
  </si>
  <si>
    <t>Central block storage provides three copies of the data distributed in a robust CEPH cluster.</t>
  </si>
  <si>
    <t>Amount (GB)</t>
  </si>
  <si>
    <t>Contact us for discounts on larger storage quantities. Pricing model based on the number of stored TB per month.</t>
  </si>
  <si>
    <t>Per TB for 30 days</t>
  </si>
  <si>
    <t>Amount (TB)</t>
  </si>
  <si>
    <t>Cloud backup solution for on-prem or cloud servers based on Spectrum Protect (TSM).</t>
  </si>
  <si>
    <t>Per GB / 30 days</t>
  </si>
  <si>
    <r>
      <rPr>
        <sz val="12"/>
        <color theme="4"/>
        <rFont val="Hind Light"/>
        <charset val="1"/>
      </rPr>
      <t>Deduplication</t>
    </r>
    <r>
      <rPr>
        <sz val="14"/>
        <color theme="4"/>
        <rFont val="Hind Light"/>
        <charset val="1"/>
      </rPr>
      <t xml:space="preserve"> </t>
    </r>
    <r>
      <rPr>
        <vertAlign val="superscript"/>
        <sz val="14"/>
        <color theme="6"/>
        <rFont val="Montserrat SemiBold"/>
        <charset val="1"/>
      </rPr>
      <t xml:space="preserve"> </t>
    </r>
    <r>
      <rPr>
        <vertAlign val="superscript"/>
        <sz val="11"/>
        <color theme="6"/>
        <rFont val="Montserrat SemiBold"/>
        <charset val="1"/>
      </rPr>
      <t>1</t>
    </r>
  </si>
  <si>
    <t>Safespring offers several network services.</t>
  </si>
  <si>
    <t>Billing per</t>
  </si>
  <si>
    <t>IP-address</t>
  </si>
  <si>
    <t>Software and licenses</t>
  </si>
  <si>
    <t>Safespring offers several software and licenses.</t>
  </si>
  <si>
    <t>Support applies to Safespring Compute, Safespring Storage and Safespring Backup.</t>
  </si>
  <si>
    <t>All prices stated in SEK, excluding VAT.</t>
  </si>
  <si>
    <t>Safespring offers several support agreements.</t>
  </si>
  <si>
    <t>Support for Safespring's services</t>
  </si>
  <si>
    <t>Access to chat room with support and engineering</t>
  </si>
  <si>
    <r>
      <t xml:space="preserve">3 % of total volume </t>
    </r>
    <r>
      <rPr>
        <vertAlign val="superscript"/>
        <sz val="11"/>
        <color theme="6"/>
        <rFont val="Montserrat SemiBold"/>
        <charset val="1"/>
      </rPr>
      <t>5</t>
    </r>
  </si>
  <si>
    <t>Request a quote</t>
  </si>
  <si>
    <t>Consulting services</t>
  </si>
  <si>
    <t>Safespring offers several consulting services.</t>
  </si>
  <si>
    <t>Educations</t>
  </si>
  <si>
    <t>Safespring offers several courses in IaaS and cloud services.</t>
  </si>
  <si>
    <t>Cloud strategy for management teams</t>
  </si>
  <si>
    <t>Introduction to cloud infrastructure technology</t>
  </si>
  <si>
    <t>Modern DevOps and "microservices"</t>
  </si>
  <si>
    <t>Monthly cost</t>
  </si>
  <si>
    <t>Contact Safespring for a complete quote</t>
  </si>
  <si>
    <t>Phone: +46 8-55 10 73 56</t>
  </si>
  <si>
    <t>Product</t>
  </si>
  <si>
    <r>
      <rPr>
        <sz val="10"/>
        <color theme="6"/>
        <rFont val="Montserrat SemiBold"/>
        <charset val="1"/>
      </rPr>
      <t>1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Deduplication is a data reduction done in the service. Depending on the data, it usually varies between 45% -90%</t>
    </r>
  </si>
  <si>
    <r>
      <rPr>
        <sz val="10"/>
        <color theme="6"/>
        <rFont val="Montserrat SemiBold"/>
        <charset val="1"/>
      </rPr>
      <t xml:space="preserve">2 </t>
    </r>
    <r>
      <rPr>
        <i/>
        <sz val="10"/>
        <color theme="1"/>
        <rFont val="Montserrat Light"/>
        <charset val="1"/>
      </rPr>
      <t>The price is per protected GB on the client.</t>
    </r>
  </si>
  <si>
    <r>
      <rPr>
        <sz val="10"/>
        <color theme="6"/>
        <rFont val="Montserrat SemiBold"/>
        <charset val="1"/>
      </rPr>
      <t>3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The price is per GB stored in the service after deduplication and compression.</t>
    </r>
  </si>
  <si>
    <r>
      <rPr>
        <sz val="10"/>
        <color theme="6"/>
        <rFont val="Montserrat SemiBold"/>
        <charset val="1"/>
      </rPr>
      <t>4</t>
    </r>
    <r>
      <rPr>
        <i/>
        <sz val="10"/>
        <color theme="6"/>
        <rFont val="Montserrat Light"/>
        <charset val="1"/>
      </rPr>
      <t xml:space="preserve"> </t>
    </r>
    <r>
      <rPr>
        <i/>
        <sz val="10"/>
        <color theme="1"/>
        <rFont val="Montserrat Light"/>
        <charset val="1"/>
      </rPr>
      <t>The price is per GB stored in the service after deduplication and compression. The service includes 1000 GB in the fixed monthly price.</t>
    </r>
  </si>
  <si>
    <r>
      <rPr>
        <sz val="10"/>
        <color theme="5"/>
        <rFont val="Montserrat SemiBold"/>
        <charset val="1"/>
      </rPr>
      <t xml:space="preserve">5 </t>
    </r>
    <r>
      <rPr>
        <i/>
        <sz val="10"/>
        <color theme="1"/>
        <rFont val="Montserrat Light"/>
        <charset val="1"/>
      </rPr>
      <t>The support fee is charged at 3 % of the total volume with a minimum fee of 150 EUR per month.</t>
    </r>
  </si>
  <si>
    <t>Prissättning</t>
  </si>
  <si>
    <t>SEK/NOK</t>
  </si>
  <si>
    <t>EUR</t>
  </si>
  <si>
    <t>Currency Factor</t>
  </si>
  <si>
    <t>IAAS-ram</t>
  </si>
  <si>
    <t>IAAS-ssd</t>
  </si>
  <si>
    <t>IAAS-vcpu</t>
  </si>
  <si>
    <t>NOK</t>
  </si>
  <si>
    <t>IAAS-nvme</t>
  </si>
  <si>
    <t>IAAS-gpu</t>
  </si>
  <si>
    <r>
      <t xml:space="preserve">IAAS-pcpu </t>
    </r>
    <r>
      <rPr>
        <sz val="11"/>
        <color theme="3"/>
        <rFont val="Montserrat Light"/>
        <charset val="1"/>
      </rPr>
      <t>(beräknad)</t>
    </r>
  </si>
  <si>
    <t xml:space="preserve">  Typ</t>
  </si>
  <si>
    <t xml:space="preserve">  vCPU</t>
  </si>
  <si>
    <t xml:space="preserve">  RAM</t>
  </si>
  <si>
    <t>Bare metal compute</t>
  </si>
  <si>
    <t>BAAS-on.demand</t>
  </si>
  <si>
    <t>BAAS-small.fee</t>
  </si>
  <si>
    <t>BAAS-large.fee</t>
  </si>
  <si>
    <t>BAAS-small</t>
  </si>
  <si>
    <t>BAAS-large</t>
  </si>
  <si>
    <t>S3-storage.50</t>
  </si>
  <si>
    <t>S3-storage.100</t>
  </si>
  <si>
    <t>S3-storage.500</t>
  </si>
  <si>
    <t>S3-storage.1000</t>
  </si>
  <si>
    <t>S3-storage.quote</t>
  </si>
  <si>
    <t>Be om offert</t>
  </si>
  <si>
    <t>S3-archive.50</t>
  </si>
  <si>
    <t>S3-archive.100</t>
  </si>
  <si>
    <t>S3-archive.500</t>
  </si>
  <si>
    <t>S3-archive.1000</t>
  </si>
  <si>
    <t>S3-archive.quote</t>
  </si>
  <si>
    <t>NET-saferoute</t>
  </si>
  <si>
    <t>Mjukvara</t>
  </si>
  <si>
    <t>SW-win.ser.2016 &amp; 2019</t>
  </si>
  <si>
    <t>SW-ms.sql.ser.ent</t>
  </si>
  <si>
    <t>SW-suse</t>
  </si>
  <si>
    <t>3x instanspris</t>
  </si>
  <si>
    <t>3x instance price</t>
  </si>
  <si>
    <t xml:space="preserve"> Begär offert </t>
  </si>
  <si>
    <t>PAAS-openshift</t>
  </si>
  <si>
    <t>Lastbalanserare baserad på två l2.c4.r8.100</t>
  </si>
  <si>
    <t>Lastbalansere basert på to l2.c4.r8.100</t>
  </si>
  <si>
    <t>Load balancer baseret på to l2.c4.r8.100</t>
  </si>
  <si>
    <t>Load balancer based on two l2.c4.r8.100</t>
  </si>
  <si>
    <t>Konto</t>
  </si>
  <si>
    <t>Account</t>
  </si>
  <si>
    <t>Månad</t>
  </si>
  <si>
    <t>Måned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</si>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</sst>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6" formatCode="#,##0\ &quot;kr&quot;;[Red]\-#,##0\ &quot;kr&quot;"/>
    <numFmt numFmtId="8" formatCode="#,##0.00\ &quot;kr&quot;;[Red]\-#,##0.00\ &quot;kr&quot;"/>
    <numFmt numFmtId="44" formatCode="_-* #,##0.00\ &quot;kr&quot;_-;\-* #,##0.00\ &quot;kr&quot;_-;_-* &quot;-&quot;??\ &quot;kr&quot;_-;_-@_-"/>
    <numFmt numFmtId="43" formatCode="_-* #,##0.00_-;\-* #,##0.00_-;_-* &quot;-&quot;??_-;_-@_-"/>
    <numFmt numFmtId="164" formatCode="#,##0\ &quot;kr&quot;"/>
    <numFmt numFmtId="165" formatCode="_-* #,##0_-;\-* #,##0_-;_-* &quot;-&quot;??_-;_-@_-"/>
    <numFmt numFmtId="166" formatCode="_-* #,##0\ &quot;kr&quot;_-;\-* #,##0\ &quot;kr&quot;_-;_-* &quot;-&quot;??\ &quot;kr&quot;_-;_-@_-"/>
    <numFmt numFmtId="167" formatCode="0.0000%"/>
    <numFmt numFmtId="168" formatCode="_-* #,##0.00000\ &quot;kr&quot;_-;\-* #,##0.00000\ &quot;kr&quot;_-;_-* &quot;-&quot;??\ &quot;kr&quot;_-;_-@_-"/>
    <numFmt numFmtId="169" formatCode="#,##0.0000\ &quot;kr&quot;;[Red]\-#,##0.0000\ &quot;kr&quot;"/>
    <numFmt numFmtId="170" formatCode="_-* #,##0\ [$kr-41D]_-;\-* #,##0\ [$kr-41D]_-;_-* &quot;-&quot;??\ [$kr-41D]_-;_-@_-"/>
    <numFmt numFmtId="171" formatCode="_-* #,##0.00\ [$€-1]_-;\-* #,##0.00\ [$€-1]_-;_-* &quot;-&quot;??\ [$€-1]_-;_-@_-"/>
    <numFmt numFmtId="172" formatCode="#,##0.00\ [$€-1];\-#,##0.00\ [$€-1]"/>
    <numFmt numFmtId="173" formatCode="_-* #,##0.0000\ [$€-1]_-;\-* #,##0.0000\ [$€-1]_-;_-* &quot;-&quot;??\ [$€-1]_-;_-@_-"/>
    <numFmt numFmtId="174" formatCode="_-* #,##0\ [$€-1]_-;\-* #,##0\ [$€-1]_-;_-* &quot;-&quot;??\ [$€-1]_-;_-@_-"/>
    <numFmt numFmtId="175" formatCode="#,##0.00\ [$SEK]"/>
    <numFmt numFmtId="176" formatCode="_-* #,##0.00\ [$SEK]_-;\-* #,##0.00\ [$SEK]_-;_-* &quot;-&quot;??\ [$SEK]_-;_-@_-"/>
    <numFmt numFmtId="177" formatCode="_-* #,##0.00\ [$EUR]_-;\-* #,##0.00\ [$EUR]_-;_-* &quot;-&quot;??\ [$EUR]_-;_-@_-"/>
    <numFmt numFmtId="178" formatCode="0.0000"/>
    <numFmt numFmtId="179" formatCode="_-* #,##0\ [$SEK]_-;\-* #,##0\ [$SEK]_-;_-* &quot;-&quot;??\ [$SEK]_-;_-@_-"/>
  </numFmts>
  <fonts count="73"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  <font>
      <sz val="9"/>
      <color theme="1"/>
      <name val="Montserrat Light"/>
      <charset val="1"/>
    </font>
    <font>
      <sz val="11"/>
      <color theme="1"/>
      <name val="Montserrat Light"/>
      <charset val="1"/>
    </font>
    <font>
      <sz val="16"/>
      <color theme="4"/>
      <name val="Hind Light"/>
      <charset val="1"/>
    </font>
    <font>
      <u/>
      <sz val="11"/>
      <color theme="10"/>
      <name val="Montserrat Medium"/>
      <charset val="1"/>
    </font>
    <font>
      <sz val="11"/>
      <color theme="3"/>
      <name val="Montserrat Light"/>
      <charset val="1"/>
    </font>
    <font>
      <sz val="11"/>
      <color theme="8"/>
      <name val="Montserrat Light"/>
      <charset val="1"/>
    </font>
    <font>
      <sz val="48"/>
      <color theme="8"/>
      <name val="Hind Light"/>
      <charset val="1"/>
    </font>
    <font>
      <sz val="16"/>
      <color theme="3"/>
      <name val="Montserrat Light"/>
      <charset val="1"/>
    </font>
    <font>
      <sz val="16"/>
      <color theme="8"/>
      <name val="Montserrat Light"/>
      <charset val="1"/>
    </font>
    <font>
      <sz val="18"/>
      <color theme="8"/>
      <name val="Hind Light"/>
      <charset val="1"/>
    </font>
    <font>
      <sz val="9"/>
      <color theme="1" tint="0.39997558519241921"/>
      <name val="Montserrat Regular"/>
    </font>
    <font>
      <sz val="8"/>
      <color theme="3" tint="0.39997558519241921"/>
      <name val="Montserrat"/>
      <charset val="1"/>
    </font>
    <font>
      <sz val="14"/>
      <color theme="4"/>
      <name val="Hind Light"/>
      <charset val="1"/>
    </font>
    <font>
      <sz val="14"/>
      <color theme="6"/>
      <name val="Hind Light"/>
      <charset val="1"/>
    </font>
    <font>
      <sz val="11"/>
      <color theme="3"/>
      <name val="Montserrat Medium"/>
      <charset val="1"/>
    </font>
    <font>
      <sz val="11"/>
      <color theme="6" tint="0.39997558519241921"/>
      <name val="Montserrat Regular"/>
    </font>
    <font>
      <sz val="11"/>
      <color theme="1" tint="0.39997558519241921"/>
      <name val="Montserrat Regular"/>
    </font>
    <font>
      <sz val="11"/>
      <color theme="1"/>
      <name val="Montserrat SemiBold"/>
      <charset val="1"/>
    </font>
    <font>
      <sz val="11"/>
      <color theme="9"/>
      <name val="Montserrat SemiBold"/>
      <charset val="1"/>
    </font>
    <font>
      <sz val="14"/>
      <color theme="9"/>
      <name val="Montserrat Medium"/>
      <charset val="1"/>
    </font>
    <font>
      <sz val="14"/>
      <color theme="8"/>
      <name val="Montserrat Medium"/>
      <charset val="1"/>
    </font>
    <font>
      <sz val="14"/>
      <color theme="1"/>
      <name val="Montserrat Medium"/>
      <charset val="1"/>
    </font>
    <font>
      <sz val="9"/>
      <color theme="3"/>
      <name val="Montserrat Light"/>
      <charset val="1"/>
    </font>
    <font>
      <sz val="9"/>
      <color theme="1"/>
      <name val="Hind Light"/>
      <charset val="1"/>
    </font>
    <font>
      <sz val="11"/>
      <color theme="1"/>
      <name val="Hind Light"/>
      <charset val="1"/>
    </font>
    <font>
      <sz val="11"/>
      <color indexed="64"/>
      <name val="Calibri"/>
      <family val="2"/>
      <scheme val="minor"/>
    </font>
    <font>
      <sz val="11"/>
      <color theme="1" tint="0.39997558519241921"/>
      <name val="Montserrat Light"/>
      <charset val="1"/>
    </font>
    <font>
      <sz val="14"/>
      <color theme="1"/>
      <name val="Hind Light"/>
      <charset val="1"/>
    </font>
    <font>
      <i/>
      <sz val="9"/>
      <name val="Montserrat Light"/>
      <charset val="1"/>
    </font>
    <font>
      <sz val="18"/>
      <color theme="8"/>
      <name val="Montserrat Light"/>
      <charset val="1"/>
    </font>
    <font>
      <sz val="11"/>
      <color theme="1"/>
      <name val="Montserrat Medium"/>
      <charset val="1"/>
    </font>
    <font>
      <sz val="12"/>
      <color theme="8"/>
      <name val="Montserrat Light"/>
      <charset val="1"/>
    </font>
    <font>
      <sz val="9"/>
      <color theme="1"/>
      <name val="Montserrat Medium"/>
      <charset val="1"/>
    </font>
    <font>
      <sz val="11"/>
      <color rgb="FF003959"/>
      <name val="Montserrat Light"/>
      <charset val="1"/>
    </font>
    <font>
      <i/>
      <sz val="11"/>
      <color theme="1" tint="0.39997558519241921"/>
      <name val="Montserrat Medium"/>
      <charset val="1"/>
    </font>
    <font>
      <i/>
      <sz val="11"/>
      <color theme="1" tint="0.39997558519241921"/>
      <name val="Montserrat Light"/>
      <charset val="1"/>
    </font>
    <font>
      <sz val="11"/>
      <color theme="1" tint="0.59999389629810485"/>
      <name val="Montserrat Light"/>
      <charset val="1"/>
    </font>
    <font>
      <sz val="12"/>
      <color theme="1"/>
      <name val="Montserrat Medium"/>
      <charset val="1"/>
    </font>
    <font>
      <i/>
      <sz val="11"/>
      <color theme="1"/>
      <name val="Montserrat Light"/>
      <charset val="1"/>
    </font>
    <font>
      <sz val="11"/>
      <color rgb="FFEBF1F5"/>
      <name val="Montserrat Light"/>
      <charset val="1"/>
    </font>
    <font>
      <sz val="8"/>
      <color theme="1"/>
      <name val="Montserrat Light"/>
      <charset val="1"/>
    </font>
    <font>
      <sz val="48"/>
      <color theme="9"/>
      <name val="Hind Light"/>
      <charset val="1"/>
    </font>
    <font>
      <i/>
      <sz val="11"/>
      <color theme="1"/>
      <name val="Hind Light"/>
      <charset val="1"/>
    </font>
    <font>
      <sz val="9"/>
      <color rgb="FF003959"/>
      <name val="Montserrat Light"/>
      <charset val="1"/>
    </font>
    <font>
      <sz val="14"/>
      <color theme="1"/>
      <name val="Montserrat Light"/>
      <charset val="1"/>
    </font>
    <font>
      <sz val="10"/>
      <color theme="1"/>
      <name val="Montserrat Light"/>
      <charset val="1"/>
    </font>
    <font>
      <i/>
      <sz val="10"/>
      <color theme="1"/>
      <name val="Montserrat Light"/>
      <charset val="1"/>
    </font>
    <font>
      <i/>
      <sz val="10"/>
      <color theme="6"/>
      <name val="Montserrat Light"/>
      <charset val="1"/>
    </font>
    <font>
      <b/>
      <sz val="11"/>
      <color theme="3"/>
      <name val="Montserrat Medium"/>
      <charset val="1"/>
    </font>
    <font>
      <b/>
      <sz val="11"/>
      <color theme="1"/>
      <name val="Montserrat Medium"/>
      <charset val="1"/>
    </font>
    <font>
      <b/>
      <sz val="11"/>
      <color theme="3"/>
      <name val="Montserrat Light"/>
      <charset val="1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48"/>
      <color theme="8" tint="0.59999389629810485"/>
      <name val="Hind Light"/>
      <charset val="1"/>
    </font>
    <font>
      <b/>
      <sz val="8"/>
      <color theme="5"/>
      <name val="Montserrat"/>
      <charset val="1"/>
    </font>
    <font>
      <sz val="11"/>
      <color theme="4"/>
      <name val="Hind Light"/>
      <charset val="1"/>
    </font>
    <font>
      <sz val="10"/>
      <color theme="1" tint="0.39997558519241921"/>
      <name val="Montserrat Medium"/>
      <charset val="1"/>
    </font>
    <font>
      <sz val="11"/>
      <color theme="1" tint="0.39997558519241921"/>
      <name val="Montserrat Medium"/>
      <charset val="1"/>
    </font>
    <font>
      <sz val="9"/>
      <color theme="1" tint="0.39997558519241921"/>
      <name val="Montserrat Medium"/>
      <charset val="1"/>
    </font>
    <font>
      <vertAlign val="superscript"/>
      <sz val="14"/>
      <color theme="6"/>
      <name val="Montserrat SemiBold"/>
      <charset val="1"/>
    </font>
    <font>
      <vertAlign val="superscript"/>
      <sz val="11"/>
      <color theme="6"/>
      <name val="Montserrat SemiBold"/>
      <charset val="1"/>
    </font>
    <font>
      <sz val="10"/>
      <color theme="1"/>
      <name val="Montserrat Medium"/>
      <charset val="1"/>
    </font>
    <font>
      <sz val="10"/>
      <color theme="6"/>
      <name val="Montserrat SemiBold"/>
      <charset val="1"/>
    </font>
    <font>
      <sz val="10"/>
      <color theme="1"/>
      <name val="Montserrat SemiBold"/>
      <charset val="1"/>
    </font>
    <font>
      <sz val="48"/>
      <color theme="4"/>
      <name val="Hind Light"/>
      <charset val="1"/>
    </font>
    <font>
      <sz val="9"/>
      <color theme="5"/>
      <name val="Montserrat SemiBold"/>
      <charset val="1"/>
    </font>
    <font>
      <sz val="10"/>
      <color theme="5"/>
      <name val="Montserrat SemiBold"/>
      <charset val="1"/>
    </font>
    <font>
      <sz val="9"/>
      <color theme="6"/>
      <name val="Montserrat SemiBold"/>
      <charset val="1"/>
    </font>
    <font>
      <sz val="12"/>
      <color theme="4"/>
      <name val="Hind Light"/>
      <charset val="1"/>
    </font>
    <font>
      <sz val="11"/>
      <color theme="1"/>
      <name val="Montserrat Light"/>
      <charset val="1"/>
    </font>
    <font>
      <sz val="14"/>
      <color theme="4"/>
      <name val="Hind Light"/>
      <charset val="1"/>
    </font>
  </fonts>
  <fills count="8">
    <fill>
      <patternFill patternType="none"/>
    </fill>
    <fill>
      <patternFill patternType="gray125"/>
    </fill>
    <fill>
      <patternFill patternType="solid">
        <fgColor rgb="FFEBF1F5"/>
        <bgColor rgb="FFEBF1F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F7F7F7"/>
        <bgColor rgb="FFF7F7F7"/>
      </patternFill>
    </fill>
  </fills>
  <borders count="19">
    <border>
      <left/>
      <right/>
      <top/>
      <bottom/>
      <diagonal/>
    </border>
    <border>
      <left style="hair">
        <color theme="4"/>
      </left>
      <right/>
      <top/>
      <bottom/>
      <diagonal/>
    </border>
    <border>
      <left/>
      <right/>
      <top/>
      <bottom style="hair">
        <color theme="4"/>
      </bottom>
      <diagonal/>
    </border>
    <border>
      <left style="hair">
        <color theme="6" tint="0.39997558519241921"/>
      </left>
      <right style="hair">
        <color theme="6" tint="0.39997558519241921"/>
      </right>
      <top/>
      <bottom style="hair">
        <color theme="6" tint="0.39997558519241921"/>
      </bottom>
      <diagonal/>
    </border>
    <border>
      <left/>
      <right/>
      <top style="hair">
        <color theme="4"/>
      </top>
      <bottom/>
      <diagonal/>
    </border>
    <border>
      <left/>
      <right style="hair">
        <color theme="6" tint="0.39997558519241921"/>
      </right>
      <top/>
      <bottom/>
      <diagonal/>
    </border>
    <border>
      <left style="hair">
        <color theme="6" tint="0.39997558519241921"/>
      </left>
      <right style="hair">
        <color theme="6" tint="0.39997558519241921"/>
      </right>
      <top style="hair">
        <color theme="6" tint="0.39997558519241921"/>
      </top>
      <bottom/>
      <diagonal/>
    </border>
    <border>
      <left/>
      <right/>
      <top style="hair">
        <color theme="4"/>
      </top>
      <bottom style="hair">
        <color theme="4"/>
      </bottom>
      <diagonal/>
    </border>
    <border>
      <left style="hair">
        <color theme="6" tint="0.39997558519241921"/>
      </left>
      <right style="hair">
        <color theme="6" tint="0.39997558519241921"/>
      </right>
      <top style="hair">
        <color theme="6" tint="0.39997558519241921"/>
      </top>
      <bottom style="hair">
        <color theme="4"/>
      </bottom>
      <diagonal/>
    </border>
    <border>
      <left/>
      <right/>
      <top/>
      <bottom style="hair">
        <color theme="6" tint="0.39997558519241921"/>
      </bottom>
      <diagonal/>
    </border>
    <border>
      <left style="hair">
        <color theme="6" tint="0.39997558519241921"/>
      </left>
      <right style="hair">
        <color theme="6" tint="0.39997558519241921"/>
      </right>
      <top style="hair">
        <color theme="6" tint="0.39997558519241921"/>
      </top>
      <bottom style="hair">
        <color theme="6" tint="0.39997558519241921"/>
      </bottom>
      <diagonal/>
    </border>
    <border>
      <left style="hair">
        <color theme="6" tint="0.39997558519241921"/>
      </left>
      <right/>
      <top style="hair">
        <color theme="6" tint="0.39997558519241921"/>
      </top>
      <bottom style="hair">
        <color theme="6" tint="0.39997558519241921"/>
      </bottom>
      <diagonal/>
    </border>
    <border>
      <left style="hair">
        <color theme="6" tint="0.39997558519241921"/>
      </left>
      <right/>
      <top style="hair">
        <color theme="6" tint="0.39997558519241921"/>
      </top>
      <bottom style="hair">
        <color theme="4"/>
      </bottom>
      <diagonal/>
    </border>
    <border>
      <left/>
      <right style="hair">
        <color theme="6" tint="0.39997558519241921"/>
      </right>
      <top style="hair">
        <color theme="4"/>
      </top>
      <bottom/>
      <diagonal/>
    </border>
    <border>
      <left/>
      <right style="hair">
        <color theme="6" tint="0.39997558519241921"/>
      </right>
      <top/>
      <bottom style="hair">
        <color theme="4"/>
      </bottom>
      <diagonal/>
    </border>
    <border>
      <left/>
      <right style="hair">
        <color theme="4"/>
      </right>
      <top/>
      <bottom style="hair">
        <color theme="4"/>
      </bottom>
      <diagonal/>
    </border>
    <border>
      <left/>
      <right/>
      <top style="hair">
        <color theme="4"/>
      </top>
      <bottom style="hair">
        <color theme="4" tint="0.59999389629810485"/>
      </bottom>
      <diagonal/>
    </border>
    <border>
      <left/>
      <right/>
      <top style="hair">
        <color theme="4" tint="0.59999389629810485"/>
      </top>
      <bottom style="hair">
        <color theme="4" tint="0.59999389629810485"/>
      </bottom>
      <diagonal/>
    </border>
    <border>
      <left style="hair">
        <color theme="6" tint="0.39997558519241921"/>
      </left>
      <right style="hair">
        <color theme="6" tint="0.39997558519241921"/>
      </right>
      <top/>
      <bottom/>
      <diagonal/>
    </border>
  </borders>
  <cellStyleXfs count="5">
    <xf numFmtId="0" fontId="0" fillId="0" borderId="0"/>
    <xf numFmtId="0" fontId="1" fillId="0" borderId="0" applyNumberFormat="0" applyFill="0" applyBorder="0"/>
    <xf numFmtId="9" fontId="54" fillId="0" borderId="0" applyFont="0" applyFill="0" applyBorder="0"/>
    <xf numFmtId="43" fontId="54" fillId="0" borderId="0" applyFont="0" applyFill="0" applyBorder="0"/>
    <xf numFmtId="44" fontId="54" fillId="0" borderId="0" applyFont="0" applyFill="0" applyBorder="0"/>
  </cellStyleXfs>
  <cellXfs count="55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right" vertical="center" indent="1"/>
    </xf>
    <xf numFmtId="0" fontId="2" fillId="0" borderId="0" xfId="0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inden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 indent="1"/>
    </xf>
    <xf numFmtId="0" fontId="2" fillId="2" borderId="0" xfId="0" applyFont="1" applyFill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2" borderId="0" xfId="0" applyFont="1" applyFill="1" applyAlignment="1">
      <alignment horizontal="left" inden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top" indent="1"/>
    </xf>
    <xf numFmtId="0" fontId="3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left"/>
    </xf>
    <xf numFmtId="0" fontId="3" fillId="2" borderId="0" xfId="0" applyFont="1" applyFill="1" applyAlignment="1">
      <alignment horizontal="left" indent="1"/>
    </xf>
    <xf numFmtId="0" fontId="5" fillId="2" borderId="0" xfId="1" applyFont="1" applyFill="1" applyAlignment="1">
      <alignment horizontal="left" vertical="top" indent="1"/>
    </xf>
    <xf numFmtId="0" fontId="1" fillId="2" borderId="0" xfId="1" applyFill="1" applyAlignment="1">
      <alignment horizontal="left" vertical="center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indent="1"/>
    </xf>
    <xf numFmtId="0" fontId="6" fillId="2" borderId="0" xfId="0" applyFont="1" applyFill="1" applyAlignment="1">
      <alignment horizontal="left" vertical="center"/>
    </xf>
    <xf numFmtId="9" fontId="6" fillId="2" borderId="0" xfId="2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indent="1"/>
    </xf>
    <xf numFmtId="0" fontId="6" fillId="2" borderId="0" xfId="0" applyFont="1" applyFill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indent="1"/>
    </xf>
    <xf numFmtId="0" fontId="6" fillId="2" borderId="2" xfId="0" applyFont="1" applyFill="1" applyBorder="1" applyAlignment="1">
      <alignment horizontal="left" vertical="center"/>
    </xf>
    <xf numFmtId="9" fontId="6" fillId="2" borderId="2" xfId="2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right" vertical="center" indent="1"/>
    </xf>
    <xf numFmtId="0" fontId="6" fillId="2" borderId="2" xfId="0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 indent="1"/>
    </xf>
    <xf numFmtId="9" fontId="6" fillId="0" borderId="0" xfId="2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 indent="1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top" indent="1"/>
    </xf>
    <xf numFmtId="0" fontId="9" fillId="0" borderId="0" xfId="0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 indent="1"/>
    </xf>
    <xf numFmtId="0" fontId="9" fillId="0" borderId="0" xfId="0" applyFont="1" applyAlignment="1">
      <alignment horizontal="right"/>
    </xf>
    <xf numFmtId="0" fontId="3" fillId="3" borderId="0" xfId="0" applyFont="1" applyFill="1" applyAlignment="1">
      <alignment horizontal="left" vertical="center" indent="1"/>
    </xf>
    <xf numFmtId="0" fontId="3" fillId="3" borderId="0" xfId="0" applyFont="1" applyFill="1" applyAlignment="1">
      <alignment horizontal="left" vertical="top"/>
    </xf>
    <xf numFmtId="0" fontId="6" fillId="0" borderId="0" xfId="0" applyFont="1" applyAlignment="1">
      <alignment horizontal="left" vertical="top"/>
    </xf>
    <xf numFmtId="6" fontId="3" fillId="0" borderId="0" xfId="0" applyNumberFormat="1" applyFont="1" applyAlignment="1">
      <alignment vertical="center"/>
    </xf>
    <xf numFmtId="0" fontId="3" fillId="0" borderId="0" xfId="0" applyFont="1"/>
    <xf numFmtId="0" fontId="2" fillId="0" borderId="0" xfId="0" applyFont="1"/>
    <xf numFmtId="0" fontId="11" fillId="0" borderId="0" xfId="0" applyFont="1" applyAlignment="1">
      <alignment horizontal="left" vertical="top" indent="1"/>
    </xf>
    <xf numFmtId="0" fontId="11" fillId="0" borderId="0" xfId="0" applyFont="1"/>
    <xf numFmtId="0" fontId="1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2" fillId="0" borderId="0" xfId="0" applyNumberFormat="1" applyFont="1" applyAlignment="1">
      <alignment horizontal="right" indent="1"/>
    </xf>
    <xf numFmtId="6" fontId="3" fillId="0" borderId="0" xfId="0" applyNumberFormat="1" applyFont="1"/>
    <xf numFmtId="6" fontId="2" fillId="0" borderId="0" xfId="0" applyNumberFormat="1" applyFont="1"/>
    <xf numFmtId="0" fontId="2" fillId="0" borderId="0" xfId="0" applyFont="1" applyAlignment="1">
      <alignment vertical="top"/>
    </xf>
    <xf numFmtId="0" fontId="14" fillId="0" borderId="2" xfId="0" applyFont="1" applyBorder="1" applyAlignment="1">
      <alignment horizontal="left" indent="1"/>
    </xf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horizontal="right" vertical="center"/>
    </xf>
    <xf numFmtId="0" fontId="15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right" indent="1"/>
    </xf>
    <xf numFmtId="6" fontId="2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left" vertical="center" indent="1"/>
    </xf>
    <xf numFmtId="0" fontId="3" fillId="2" borderId="0" xfId="0" applyFont="1" applyFill="1" applyAlignment="1">
      <alignment horizontal="center" vertical="center"/>
    </xf>
    <xf numFmtId="165" fontId="3" fillId="2" borderId="0" xfId="3" applyNumberFormat="1" applyFont="1" applyFill="1" applyAlignment="1">
      <alignment horizontal="right" vertical="center"/>
    </xf>
    <xf numFmtId="44" fontId="3" fillId="2" borderId="0" xfId="4" applyFont="1" applyFill="1" applyAlignment="1">
      <alignment horizontal="right" vertical="center"/>
    </xf>
    <xf numFmtId="166" fontId="3" fillId="2" borderId="0" xfId="4" applyNumberFormat="1" applyFont="1" applyFill="1" applyAlignment="1">
      <alignment horizontal="right" vertical="center"/>
    </xf>
    <xf numFmtId="0" fontId="17" fillId="4" borderId="3" xfId="0" applyFont="1" applyFill="1" applyBorder="1" applyAlignment="1">
      <alignment horizontal="center" vertical="center"/>
    </xf>
    <xf numFmtId="164" fontId="18" fillId="2" borderId="0" xfId="4" applyNumberFormat="1" applyFont="1" applyFill="1" applyAlignment="1">
      <alignment horizontal="right" vertical="center" indent="1"/>
    </xf>
    <xf numFmtId="0" fontId="16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165" fontId="3" fillId="0" borderId="0" xfId="3" applyNumberFormat="1" applyFont="1" applyAlignment="1">
      <alignment horizontal="right" vertical="center"/>
    </xf>
    <xf numFmtId="44" fontId="3" fillId="0" borderId="0" xfId="4" applyFont="1" applyAlignment="1">
      <alignment horizontal="right" vertical="center"/>
    </xf>
    <xf numFmtId="166" fontId="3" fillId="0" borderId="0" xfId="4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164" fontId="18" fillId="0" borderId="0" xfId="4" applyNumberFormat="1" applyFont="1" applyAlignment="1">
      <alignment horizontal="right" vertical="center" indent="1"/>
    </xf>
    <xf numFmtId="0" fontId="19" fillId="0" borderId="0" xfId="0" applyFont="1" applyAlignment="1">
      <alignment vertical="center"/>
    </xf>
    <xf numFmtId="0" fontId="20" fillId="0" borderId="4" xfId="0" applyFont="1" applyBorder="1" applyAlignment="1">
      <alignment horizontal="left" vertical="center" indent="1"/>
    </xf>
    <xf numFmtId="0" fontId="20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horizontal="right" vertical="center"/>
    </xf>
    <xf numFmtId="6" fontId="20" fillId="0" borderId="4" xfId="0" applyNumberFormat="1" applyFont="1" applyBorder="1" applyAlignment="1">
      <alignment horizontal="right" vertical="center" indent="1"/>
    </xf>
    <xf numFmtId="6" fontId="19" fillId="0" borderId="0" xfId="0" applyNumberFormat="1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44" fontId="22" fillId="0" borderId="0" xfId="4" applyFont="1" applyAlignment="1">
      <alignment horizontal="left" vertical="center"/>
    </xf>
    <xf numFmtId="166" fontId="22" fillId="0" borderId="0" xfId="4" applyNumberFormat="1" applyFont="1" applyAlignment="1">
      <alignment horizontal="left" vertical="center"/>
    </xf>
    <xf numFmtId="0" fontId="21" fillId="0" borderId="0" xfId="4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6" fontId="21" fillId="0" borderId="0" xfId="0" applyNumberFormat="1" applyFont="1" applyAlignment="1">
      <alignment horizontal="right" vertical="center" indent="1"/>
    </xf>
    <xf numFmtId="0" fontId="24" fillId="0" borderId="0" xfId="0" applyFont="1" applyAlignment="1">
      <alignment horizontal="left" vertical="center" indent="1"/>
    </xf>
    <xf numFmtId="0" fontId="24" fillId="0" borderId="0" xfId="0" applyFont="1" applyAlignment="1">
      <alignment horizontal="center" vertical="center"/>
    </xf>
    <xf numFmtId="44" fontId="24" fillId="0" borderId="0" xfId="4" applyFont="1" applyAlignment="1">
      <alignment horizontal="left" vertical="center"/>
    </xf>
    <xf numFmtId="166" fontId="24" fillId="0" borderId="0" xfId="4" applyNumberFormat="1" applyFont="1" applyAlignment="1">
      <alignment horizontal="left" vertical="center"/>
    </xf>
    <xf numFmtId="164" fontId="12" fillId="0" borderId="0" xfId="4" applyNumberFormat="1" applyFont="1" applyAlignment="1">
      <alignment horizontal="right" vertical="center" indent="1"/>
    </xf>
    <xf numFmtId="0" fontId="11" fillId="5" borderId="0" xfId="0" applyFont="1" applyFill="1" applyAlignment="1">
      <alignment horizontal="left" vertical="top" indent="1"/>
    </xf>
    <xf numFmtId="0" fontId="11" fillId="5" borderId="0" xfId="0" applyFont="1" applyFill="1" applyAlignment="1">
      <alignment vertical="top"/>
    </xf>
    <xf numFmtId="0" fontId="2" fillId="0" borderId="0" xfId="0" applyFont="1" applyAlignment="1">
      <alignment horizontal="right" vertical="top" indent="1"/>
    </xf>
    <xf numFmtId="0" fontId="25" fillId="0" borderId="0" xfId="0" applyFont="1"/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right"/>
    </xf>
    <xf numFmtId="0" fontId="25" fillId="0" borderId="2" xfId="0" applyFont="1" applyBorder="1"/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" fillId="2" borderId="0" xfId="3" applyNumberFormat="1" applyFont="1" applyFill="1" applyAlignment="1">
      <alignment horizontal="center" vertical="center"/>
    </xf>
    <xf numFmtId="167" fontId="3" fillId="0" borderId="0" xfId="2" applyNumberFormat="1" applyFont="1" applyAlignment="1">
      <alignment vertical="center"/>
    </xf>
    <xf numFmtId="9" fontId="3" fillId="0" borderId="0" xfId="2" applyFont="1" applyAlignment="1">
      <alignment vertical="center"/>
    </xf>
    <xf numFmtId="0" fontId="3" fillId="0" borderId="0" xfId="3" applyNumberFormat="1" applyFont="1" applyAlignment="1">
      <alignment horizontal="center" vertical="center"/>
    </xf>
    <xf numFmtId="8" fontId="3" fillId="0" borderId="0" xfId="0" applyNumberFormat="1" applyFont="1" applyAlignment="1">
      <alignment vertical="center"/>
    </xf>
    <xf numFmtId="0" fontId="27" fillId="0" borderId="0" xfId="0" applyFont="1"/>
    <xf numFmtId="0" fontId="28" fillId="0" borderId="4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 indent="1"/>
    </xf>
    <xf numFmtId="0" fontId="22" fillId="0" borderId="0" xfId="0" applyFont="1" applyAlignment="1">
      <alignment horizontal="left" vertical="center"/>
    </xf>
    <xf numFmtId="6" fontId="2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 indent="1"/>
    </xf>
    <xf numFmtId="164" fontId="12" fillId="0" borderId="0" xfId="0" applyNumberFormat="1" applyFont="1" applyAlignment="1">
      <alignment horizontal="left"/>
    </xf>
    <xf numFmtId="6" fontId="3" fillId="0" borderId="0" xfId="0" applyNumberFormat="1" applyFont="1" applyAlignment="1">
      <alignment horizontal="left"/>
    </xf>
    <xf numFmtId="6" fontId="2" fillId="0" borderId="0" xfId="0" applyNumberFormat="1" applyFont="1" applyAlignment="1">
      <alignment horizontal="left"/>
    </xf>
    <xf numFmtId="0" fontId="29" fillId="0" borderId="0" xfId="0" applyFont="1"/>
    <xf numFmtId="165" fontId="14" fillId="0" borderId="2" xfId="3" applyNumberFormat="1" applyFont="1" applyBorder="1" applyAlignment="1">
      <alignment horizontal="right"/>
    </xf>
    <xf numFmtId="0" fontId="26" fillId="0" borderId="0" xfId="0" applyFont="1"/>
    <xf numFmtId="8" fontId="29" fillId="0" borderId="0" xfId="0" applyNumberFormat="1" applyFont="1"/>
    <xf numFmtId="6" fontId="29" fillId="0" borderId="0" xfId="0" applyNumberFormat="1" applyFont="1"/>
    <xf numFmtId="0" fontId="3" fillId="2" borderId="0" xfId="0" applyFont="1" applyFill="1" applyAlignment="1">
      <alignment horizontal="right" vertical="center"/>
    </xf>
    <xf numFmtId="44" fontId="3" fillId="2" borderId="0" xfId="4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0" borderId="0" xfId="0" applyFont="1" applyAlignment="1">
      <alignment horizontal="right" vertical="center"/>
    </xf>
    <xf numFmtId="44" fontId="3" fillId="0" borderId="0" xfId="4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" fillId="0" borderId="0" xfId="0" applyFont="1" applyAlignment="1">
      <alignment horizontal="right" indent="1"/>
    </xf>
    <xf numFmtId="0" fontId="31" fillId="0" borderId="0" xfId="0" applyFont="1"/>
    <xf numFmtId="0" fontId="32" fillId="2" borderId="0" xfId="0" applyFont="1" applyFill="1" applyAlignment="1">
      <alignment horizontal="left" vertical="center" indent="1"/>
    </xf>
    <xf numFmtId="0" fontId="3" fillId="2" borderId="0" xfId="4" applyNumberFormat="1" applyFont="1" applyFill="1" applyAlignment="1">
      <alignment horizontal="center" vertical="center"/>
    </xf>
    <xf numFmtId="165" fontId="3" fillId="2" borderId="4" xfId="3" applyNumberFormat="1" applyFont="1" applyFill="1" applyBorder="1" applyAlignment="1">
      <alignment horizontal="center" vertical="center"/>
    </xf>
    <xf numFmtId="44" fontId="3" fillId="2" borderId="0" xfId="4" applyFont="1" applyFill="1" applyAlignment="1">
      <alignment horizontal="left" vertical="center"/>
    </xf>
    <xf numFmtId="166" fontId="3" fillId="2" borderId="0" xfId="4" applyNumberFormat="1" applyFont="1" applyFill="1" applyAlignment="1">
      <alignment horizontal="left" vertical="center"/>
    </xf>
    <xf numFmtId="0" fontId="32" fillId="0" borderId="0" xfId="0" applyFont="1" applyAlignment="1">
      <alignment horizontal="left" vertical="center" indent="1"/>
    </xf>
    <xf numFmtId="0" fontId="3" fillId="0" borderId="0" xfId="4" applyNumberFormat="1" applyFont="1" applyAlignment="1">
      <alignment horizontal="center" vertical="center"/>
    </xf>
    <xf numFmtId="165" fontId="3" fillId="0" borderId="0" xfId="3" applyNumberFormat="1" applyFont="1" applyAlignment="1">
      <alignment horizontal="center" vertical="center"/>
    </xf>
    <xf numFmtId="44" fontId="3" fillId="0" borderId="0" xfId="4" applyFont="1" applyAlignment="1">
      <alignment horizontal="left" vertical="center"/>
    </xf>
    <xf numFmtId="166" fontId="3" fillId="0" borderId="0" xfId="4" applyNumberFormat="1" applyFont="1" applyAlignment="1">
      <alignment horizontal="left" vertical="center"/>
    </xf>
    <xf numFmtId="0" fontId="32" fillId="0" borderId="0" xfId="0" applyFont="1" applyAlignment="1">
      <alignment vertical="center"/>
    </xf>
    <xf numFmtId="0" fontId="32" fillId="2" borderId="2" xfId="0" applyFont="1" applyFill="1" applyBorder="1" applyAlignment="1">
      <alignment horizontal="left" vertical="center" indent="1"/>
    </xf>
    <xf numFmtId="0" fontId="3" fillId="2" borderId="2" xfId="4" applyNumberFormat="1" applyFont="1" applyFill="1" applyBorder="1" applyAlignment="1">
      <alignment horizontal="center" vertical="center"/>
    </xf>
    <xf numFmtId="165" fontId="3" fillId="2" borderId="2" xfId="3" applyNumberFormat="1" applyFont="1" applyFill="1" applyBorder="1" applyAlignment="1">
      <alignment horizontal="center" vertical="center"/>
    </xf>
    <xf numFmtId="44" fontId="3" fillId="2" borderId="2" xfId="4" applyFont="1" applyFill="1" applyBorder="1" applyAlignment="1">
      <alignment horizontal="left" vertical="center"/>
    </xf>
    <xf numFmtId="0" fontId="32" fillId="0" borderId="0" xfId="0" applyFont="1"/>
    <xf numFmtId="8" fontId="33" fillId="0" borderId="0" xfId="0" applyNumberFormat="1" applyFont="1" applyAlignment="1">
      <alignment horizontal="left" vertical="center" indent="1"/>
    </xf>
    <xf numFmtId="8" fontId="3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right" vertical="center" indent="1"/>
    </xf>
    <xf numFmtId="0" fontId="30" fillId="0" borderId="0" xfId="0" applyFont="1" applyAlignment="1">
      <alignment horizontal="left" vertical="center" indent="1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left" vertical="top" indent="1"/>
    </xf>
    <xf numFmtId="0" fontId="29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 indent="1"/>
    </xf>
    <xf numFmtId="8" fontId="29" fillId="0" borderId="0" xfId="0" applyNumberFormat="1" applyFont="1" applyAlignment="1">
      <alignment vertical="center"/>
    </xf>
    <xf numFmtId="6" fontId="29" fillId="0" borderId="0" xfId="0" applyNumberFormat="1" applyFont="1" applyAlignment="1">
      <alignment vertical="center"/>
    </xf>
    <xf numFmtId="0" fontId="3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168" fontId="3" fillId="2" borderId="0" xfId="4" applyNumberFormat="1" applyFont="1" applyFill="1" applyAlignment="1">
      <alignment horizontal="center" vertical="center"/>
    </xf>
    <xf numFmtId="3" fontId="28" fillId="2" borderId="4" xfId="0" applyNumberFormat="1" applyFont="1" applyFill="1" applyBorder="1" applyAlignment="1">
      <alignment vertical="center"/>
    </xf>
    <xf numFmtId="3" fontId="17" fillId="4" borderId="5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6" fontId="3" fillId="2" borderId="0" xfId="0" applyNumberFormat="1" applyFont="1" applyFill="1" applyAlignment="1">
      <alignment horizontal="right" vertical="center" indent="1"/>
    </xf>
    <xf numFmtId="168" fontId="3" fillId="0" borderId="0" xfId="4" applyNumberFormat="1" applyFont="1" applyAlignment="1">
      <alignment horizontal="center" vertical="center"/>
    </xf>
    <xf numFmtId="3" fontId="3" fillId="0" borderId="0" xfId="4" applyNumberFormat="1" applyFont="1" applyAlignment="1">
      <alignment vertical="center"/>
    </xf>
    <xf numFmtId="3" fontId="17" fillId="4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6" fontId="3" fillId="0" borderId="0" xfId="0" applyNumberFormat="1" applyFont="1" applyAlignment="1">
      <alignment horizontal="right" vertical="center" indent="1"/>
    </xf>
    <xf numFmtId="3" fontId="28" fillId="2" borderId="2" xfId="0" applyNumberFormat="1" applyFont="1" applyFill="1" applyBorder="1" applyAlignment="1">
      <alignment vertical="center"/>
    </xf>
    <xf numFmtId="0" fontId="33" fillId="0" borderId="0" xfId="0" applyFont="1" applyAlignment="1">
      <alignment horizontal="center" vertical="center"/>
    </xf>
    <xf numFmtId="6" fontId="33" fillId="0" borderId="0" xfId="0" applyNumberFormat="1" applyFont="1" applyAlignment="1">
      <alignment horizontal="right" vertical="center" indent="1"/>
    </xf>
    <xf numFmtId="6" fontId="33" fillId="0" borderId="0" xfId="0" applyNumberFormat="1" applyFont="1" applyAlignment="1">
      <alignment horizontal="right" vertical="center"/>
    </xf>
    <xf numFmtId="0" fontId="33" fillId="0" borderId="0" xfId="0" applyFont="1" applyAlignment="1">
      <alignment horizontal="right" vertical="center" indent="1"/>
    </xf>
    <xf numFmtId="6" fontId="33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 indent="1"/>
    </xf>
    <xf numFmtId="0" fontId="9" fillId="0" borderId="0" xfId="0" applyFont="1" applyAlignment="1">
      <alignment horizontal="center"/>
    </xf>
    <xf numFmtId="0" fontId="14" fillId="0" borderId="2" xfId="0" applyFont="1" applyBorder="1" applyAlignment="1">
      <alignment horizontal="left"/>
    </xf>
    <xf numFmtId="0" fontId="34" fillId="0" borderId="0" xfId="0" applyFont="1" applyAlignment="1">
      <alignment vertical="center"/>
    </xf>
    <xf numFmtId="8" fontId="3" fillId="2" borderId="4" xfId="0" applyNumberFormat="1" applyFont="1" applyFill="1" applyBorder="1" applyAlignment="1">
      <alignment vertical="center"/>
    </xf>
    <xf numFmtId="168" fontId="3" fillId="2" borderId="0" xfId="4" applyNumberFormat="1" applyFont="1" applyFill="1" applyAlignment="1">
      <alignment horizontal="right" vertical="center"/>
    </xf>
    <xf numFmtId="44" fontId="3" fillId="2" borderId="0" xfId="4" applyFont="1" applyFill="1" applyAlignment="1">
      <alignment vertical="center"/>
    </xf>
    <xf numFmtId="166" fontId="3" fillId="2" borderId="0" xfId="4" applyNumberFormat="1" applyFont="1" applyFill="1" applyAlignment="1">
      <alignment vertical="center"/>
    </xf>
    <xf numFmtId="3" fontId="17" fillId="4" borderId="3" xfId="0" applyNumberFormat="1" applyFont="1" applyFill="1" applyBorder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right" vertical="center" indent="1"/>
    </xf>
    <xf numFmtId="0" fontId="14" fillId="0" borderId="0" xfId="0" applyFont="1" applyAlignment="1">
      <alignment horizontal="right" vertical="center"/>
    </xf>
    <xf numFmtId="166" fontId="3" fillId="0" borderId="0" xfId="4" applyNumberFormat="1" applyFont="1" applyAlignment="1">
      <alignment horizontal="center" vertical="center"/>
    </xf>
    <xf numFmtId="44" fontId="3" fillId="0" borderId="0" xfId="4" applyFont="1" applyAlignment="1">
      <alignment vertical="center"/>
    </xf>
    <xf numFmtId="3" fontId="17" fillId="4" borderId="6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indent="1"/>
    </xf>
    <xf numFmtId="0" fontId="3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2" fillId="2" borderId="2" xfId="0" applyFont="1" applyFill="1" applyBorder="1" applyAlignment="1">
      <alignment vertical="center"/>
    </xf>
    <xf numFmtId="168" fontId="3" fillId="2" borderId="2" xfId="4" applyNumberFormat="1" applyFont="1" applyFill="1" applyBorder="1" applyAlignment="1">
      <alignment horizontal="right" vertical="center"/>
    </xf>
    <xf numFmtId="44" fontId="3" fillId="2" borderId="7" xfId="4" applyFont="1" applyFill="1" applyBorder="1" applyAlignment="1">
      <alignment vertical="center"/>
    </xf>
    <xf numFmtId="3" fontId="17" fillId="4" borderId="8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5" fillId="2" borderId="2" xfId="0" applyFont="1" applyFill="1" applyBorder="1" applyAlignment="1">
      <alignment horizontal="center" vertical="center"/>
    </xf>
    <xf numFmtId="6" fontId="3" fillId="2" borderId="2" xfId="0" applyNumberFormat="1" applyFont="1" applyFill="1" applyBorder="1" applyAlignment="1">
      <alignment horizontal="right" vertical="center" indent="1"/>
    </xf>
    <xf numFmtId="0" fontId="36" fillId="6" borderId="0" xfId="0" applyFont="1" applyFill="1" applyAlignment="1">
      <alignment horizontal="left" vertical="center" indent="1"/>
    </xf>
    <xf numFmtId="0" fontId="37" fillId="6" borderId="0" xfId="0" applyFont="1" applyFill="1" applyAlignment="1">
      <alignment horizontal="left" vertical="center"/>
    </xf>
    <xf numFmtId="166" fontId="37" fillId="6" borderId="4" xfId="4" applyNumberFormat="1" applyFont="1" applyFill="1" applyBorder="1" applyAlignment="1">
      <alignment horizontal="right" vertical="center"/>
    </xf>
    <xf numFmtId="166" fontId="37" fillId="6" borderId="4" xfId="4" applyNumberFormat="1" applyFont="1" applyFill="1" applyBorder="1" applyAlignment="1">
      <alignment horizontal="right" vertical="center" indent="1"/>
    </xf>
    <xf numFmtId="0" fontId="36" fillId="7" borderId="0" xfId="0" applyFont="1" applyFill="1" applyAlignment="1">
      <alignment horizontal="left" vertical="center" indent="1"/>
    </xf>
    <xf numFmtId="0" fontId="37" fillId="7" borderId="0" xfId="0" applyFont="1" applyFill="1" applyAlignment="1">
      <alignment horizontal="left" vertical="center"/>
    </xf>
    <xf numFmtId="166" fontId="37" fillId="7" borderId="0" xfId="4" applyNumberFormat="1" applyFont="1" applyFill="1" applyAlignment="1">
      <alignment horizontal="right" vertical="center"/>
    </xf>
    <xf numFmtId="166" fontId="37" fillId="7" borderId="0" xfId="4" applyNumberFormat="1" applyFont="1" applyFill="1" applyAlignment="1">
      <alignment horizontal="right" vertical="center" indent="1"/>
    </xf>
    <xf numFmtId="166" fontId="37" fillId="6" borderId="0" xfId="4" applyNumberFormat="1" applyFont="1" applyFill="1" applyAlignment="1">
      <alignment horizontal="right" vertical="center"/>
    </xf>
    <xf numFmtId="166" fontId="37" fillId="6" borderId="0" xfId="4" applyNumberFormat="1" applyFont="1" applyFill="1" applyAlignment="1">
      <alignment horizontal="right" vertical="center" indent="1"/>
    </xf>
    <xf numFmtId="0" fontId="36" fillId="6" borderId="2" xfId="0" applyFont="1" applyFill="1" applyBorder="1" applyAlignment="1">
      <alignment horizontal="left" vertical="center" indent="1"/>
    </xf>
    <xf numFmtId="0" fontId="37" fillId="6" borderId="2" xfId="0" applyFont="1" applyFill="1" applyBorder="1" applyAlignment="1">
      <alignment horizontal="left" vertical="center"/>
    </xf>
    <xf numFmtId="0" fontId="37" fillId="6" borderId="2" xfId="0" applyFont="1" applyFill="1" applyBorder="1" applyAlignment="1">
      <alignment horizontal="right" vertical="center"/>
    </xf>
    <xf numFmtId="0" fontId="37" fillId="6" borderId="2" xfId="0" applyFont="1" applyFill="1" applyBorder="1" applyAlignment="1">
      <alignment horizontal="right" vertical="center" indent="1"/>
    </xf>
    <xf numFmtId="0" fontId="33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/>
    </xf>
    <xf numFmtId="44" fontId="33" fillId="0" borderId="0" xfId="4" applyFont="1" applyAlignment="1">
      <alignment horizontal="left" vertical="center"/>
    </xf>
    <xf numFmtId="166" fontId="33" fillId="0" borderId="0" xfId="4" applyNumberFormat="1" applyFont="1" applyAlignment="1">
      <alignment horizontal="left" vertical="center"/>
    </xf>
    <xf numFmtId="0" fontId="3" fillId="0" borderId="0" xfId="0" applyFont="1" applyAlignment="1">
      <alignment horizontal="left" indent="1"/>
    </xf>
    <xf numFmtId="0" fontId="2" fillId="0" borderId="2" xfId="0" applyFont="1" applyBorder="1" applyAlignment="1">
      <alignment vertical="center"/>
    </xf>
    <xf numFmtId="169" fontId="38" fillId="2" borderId="0" xfId="0" applyNumberFormat="1" applyFont="1" applyFill="1" applyAlignment="1">
      <alignment horizontal="right" vertical="center"/>
    </xf>
    <xf numFmtId="8" fontId="3" fillId="2" borderId="0" xfId="0" applyNumberFormat="1" applyFont="1" applyFill="1" applyAlignment="1">
      <alignment vertical="center"/>
    </xf>
    <xf numFmtId="169" fontId="38" fillId="2" borderId="9" xfId="0" applyNumberFormat="1" applyFont="1" applyFill="1" applyBorder="1" applyAlignment="1">
      <alignment horizontal="center" vertical="center"/>
    </xf>
    <xf numFmtId="170" fontId="3" fillId="0" borderId="0" xfId="0" applyNumberFormat="1" applyFont="1" applyAlignment="1">
      <alignment horizontal="center" vertical="center"/>
    </xf>
    <xf numFmtId="3" fontId="17" fillId="4" borderId="10" xfId="0" applyNumberFormat="1" applyFont="1" applyFill="1" applyBorder="1" applyAlignment="1">
      <alignment horizontal="center" vertical="center"/>
    </xf>
    <xf numFmtId="9" fontId="17" fillId="4" borderId="11" xfId="2" applyFont="1" applyFill="1" applyBorder="1" applyAlignment="1">
      <alignment horizontal="center" vertical="center"/>
    </xf>
    <xf numFmtId="0" fontId="39" fillId="0" borderId="0" xfId="0" applyFont="1" applyAlignment="1">
      <alignment vertical="center"/>
    </xf>
    <xf numFmtId="170" fontId="3" fillId="2" borderId="2" xfId="0" applyNumberFormat="1" applyFont="1" applyFill="1" applyBorder="1" applyAlignment="1">
      <alignment horizontal="center" vertical="center"/>
    </xf>
    <xf numFmtId="9" fontId="17" fillId="4" borderId="12" xfId="2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 indent="1"/>
    </xf>
    <xf numFmtId="0" fontId="40" fillId="0" borderId="0" xfId="0" applyFont="1" applyAlignment="1">
      <alignment vertical="center"/>
    </xf>
    <xf numFmtId="0" fontId="6" fillId="0" borderId="0" xfId="0" applyFont="1"/>
    <xf numFmtId="16" fontId="32" fillId="2" borderId="0" xfId="0" applyNumberFormat="1" applyFont="1" applyFill="1" applyAlignment="1">
      <alignment horizontal="left" vertical="center" indent="1"/>
    </xf>
    <xf numFmtId="0" fontId="41" fillId="2" borderId="0" xfId="0" applyFont="1" applyFill="1" applyAlignment="1">
      <alignment horizontal="left" vertical="center"/>
    </xf>
    <xf numFmtId="6" fontId="19" fillId="2" borderId="0" xfId="0" applyNumberFormat="1" applyFont="1" applyFill="1" applyAlignment="1">
      <alignment horizontal="right" vertical="center" indent="1"/>
    </xf>
    <xf numFmtId="6" fontId="19" fillId="0" borderId="0" xfId="0" applyNumberFormat="1" applyFont="1" applyAlignment="1">
      <alignment horizontal="righ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/>
    </xf>
    <xf numFmtId="0" fontId="32" fillId="2" borderId="0" xfId="0" applyFont="1" applyFill="1" applyAlignment="1">
      <alignment horizontal="left" vertical="center"/>
    </xf>
    <xf numFmtId="169" fontId="3" fillId="2" borderId="0" xfId="0" applyNumberFormat="1" applyFont="1" applyFill="1" applyAlignment="1">
      <alignment horizontal="left" vertical="center"/>
    </xf>
    <xf numFmtId="0" fontId="32" fillId="0" borderId="0" xfId="0" applyFont="1" applyAlignment="1">
      <alignment horizontal="left" vertical="center"/>
    </xf>
    <xf numFmtId="170" fontId="3" fillId="0" borderId="0" xfId="0" applyNumberFormat="1" applyFont="1" applyAlignment="1">
      <alignment horizontal="left" vertical="center"/>
    </xf>
    <xf numFmtId="169" fontId="28" fillId="0" borderId="0" xfId="0" applyNumberFormat="1" applyFont="1" applyAlignment="1">
      <alignment horizontal="left" vertical="center"/>
    </xf>
    <xf numFmtId="8" fontId="3" fillId="0" borderId="0" xfId="0" applyNumberFormat="1" applyFont="1" applyAlignment="1">
      <alignment horizontal="right" vertical="center" indent="1"/>
    </xf>
    <xf numFmtId="0" fontId="42" fillId="2" borderId="0" xfId="0" applyFont="1" applyFill="1" applyAlignment="1">
      <alignment horizontal="left" vertical="center"/>
    </xf>
    <xf numFmtId="170" fontId="3" fillId="2" borderId="0" xfId="0" applyNumberFormat="1" applyFont="1" applyFill="1" applyAlignment="1">
      <alignment horizontal="left" vertical="center"/>
    </xf>
    <xf numFmtId="169" fontId="3" fillId="0" borderId="0" xfId="0" applyNumberFormat="1" applyFont="1" applyAlignment="1">
      <alignment horizontal="left" vertical="center"/>
    </xf>
    <xf numFmtId="169" fontId="28" fillId="2" borderId="0" xfId="0" applyNumberFormat="1" applyFont="1" applyFill="1" applyAlignment="1">
      <alignment horizontal="left" vertical="center"/>
    </xf>
    <xf numFmtId="0" fontId="2" fillId="0" borderId="4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right" vertical="center" indent="1"/>
    </xf>
    <xf numFmtId="0" fontId="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32" fillId="0" borderId="4" xfId="0" applyFont="1" applyBorder="1" applyAlignment="1">
      <alignment horizontal="left" vertical="center" indent="1"/>
    </xf>
    <xf numFmtId="0" fontId="32" fillId="0" borderId="4" xfId="0" applyFont="1" applyBorder="1" applyAlignment="1">
      <alignment horizontal="left" vertical="center"/>
    </xf>
    <xf numFmtId="170" fontId="3" fillId="0" borderId="4" xfId="0" applyNumberFormat="1" applyFont="1" applyBorder="1" applyAlignment="1">
      <alignment horizontal="center" vertical="center"/>
    </xf>
    <xf numFmtId="170" fontId="3" fillId="0" borderId="4" xfId="0" applyNumberFormat="1" applyFont="1" applyBorder="1" applyAlignment="1">
      <alignment horizontal="left" vertical="center"/>
    </xf>
    <xf numFmtId="169" fontId="3" fillId="0" borderId="4" xfId="0" applyNumberFormat="1" applyFont="1" applyBorder="1" applyAlignment="1">
      <alignment horizontal="right" vertical="center"/>
    </xf>
    <xf numFmtId="8" fontId="3" fillId="0" borderId="4" xfId="0" applyNumberFormat="1" applyFont="1" applyBorder="1" applyAlignment="1">
      <alignment horizontal="right" vertical="center" indent="1"/>
    </xf>
    <xf numFmtId="169" fontId="3" fillId="0" borderId="0" xfId="0" applyNumberFormat="1" applyFont="1" applyAlignment="1">
      <alignment horizontal="right" vertical="center"/>
    </xf>
    <xf numFmtId="169" fontId="3" fillId="2" borderId="0" xfId="0" applyNumberFormat="1" applyFont="1" applyFill="1" applyAlignment="1">
      <alignment horizontal="right" vertical="center"/>
    </xf>
    <xf numFmtId="164" fontId="3" fillId="0" borderId="0" xfId="0" applyNumberFormat="1" applyFont="1" applyAlignment="1">
      <alignment horizontal="right" vertical="center" indent="1"/>
    </xf>
    <xf numFmtId="0" fontId="3" fillId="0" borderId="4" xfId="0" applyFont="1" applyBorder="1" applyAlignment="1">
      <alignment horizontal="left" vertical="center"/>
    </xf>
    <xf numFmtId="8" fontId="3" fillId="0" borderId="0" xfId="0" applyNumberFormat="1" applyFont="1" applyAlignment="1">
      <alignment horizontal="right" vertical="center"/>
    </xf>
    <xf numFmtId="0" fontId="40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/>
    </xf>
    <xf numFmtId="0" fontId="25" fillId="0" borderId="0" xfId="0" applyFont="1" applyAlignment="1">
      <alignment horizontal="right" vertical="center" indent="1"/>
    </xf>
    <xf numFmtId="169" fontId="3" fillId="0" borderId="4" xfId="0" applyNumberFormat="1" applyFont="1" applyBorder="1" applyAlignment="1">
      <alignment horizontal="left" vertical="center"/>
    </xf>
    <xf numFmtId="0" fontId="25" fillId="0" borderId="0" xfId="0" applyFont="1" applyAlignment="1">
      <alignment vertical="top"/>
    </xf>
    <xf numFmtId="0" fontId="25" fillId="0" borderId="0" xfId="0" applyFont="1" applyAlignment="1">
      <alignment horizontal="left" vertical="top"/>
    </xf>
    <xf numFmtId="0" fontId="2" fillId="0" borderId="0" xfId="0" applyFont="1" applyAlignment="1">
      <alignment horizontal="right" vertical="top"/>
    </xf>
    <xf numFmtId="0" fontId="33" fillId="0" borderId="0" xfId="0" applyFont="1" applyAlignment="1">
      <alignment horizontal="center" vertical="top"/>
    </xf>
    <xf numFmtId="6" fontId="33" fillId="0" borderId="0" xfId="0" applyNumberFormat="1" applyFont="1" applyAlignment="1">
      <alignment horizontal="right" vertical="top"/>
    </xf>
    <xf numFmtId="0" fontId="3" fillId="0" borderId="0" xfId="0" applyFont="1" applyAlignment="1">
      <alignment vertical="top"/>
    </xf>
    <xf numFmtId="0" fontId="40" fillId="0" borderId="2" xfId="0" applyFont="1" applyBorder="1" applyAlignment="1">
      <alignment horizontal="left" vertical="center" indent="1"/>
    </xf>
    <xf numFmtId="0" fontId="33" fillId="0" borderId="2" xfId="0" applyFont="1" applyBorder="1" applyAlignment="1">
      <alignment horizontal="left" vertical="center"/>
    </xf>
    <xf numFmtId="44" fontId="33" fillId="0" borderId="2" xfId="4" applyFont="1" applyBorder="1" applyAlignment="1">
      <alignment horizontal="left" vertical="center"/>
    </xf>
    <xf numFmtId="166" fontId="33" fillId="0" borderId="2" xfId="4" applyNumberFormat="1" applyFont="1" applyBorder="1" applyAlignment="1">
      <alignment horizontal="left" vertical="center"/>
    </xf>
    <xf numFmtId="0" fontId="33" fillId="0" borderId="2" xfId="0" applyFont="1" applyBorder="1" applyAlignment="1">
      <alignment horizontal="center" vertical="center"/>
    </xf>
    <xf numFmtId="6" fontId="33" fillId="0" borderId="2" xfId="0" applyNumberFormat="1" applyFont="1" applyBorder="1" applyAlignment="1">
      <alignment horizontal="right" vertical="center"/>
    </xf>
    <xf numFmtId="6" fontId="33" fillId="0" borderId="2" xfId="0" applyNumberFormat="1" applyFont="1" applyBorder="1" applyAlignment="1">
      <alignment horizontal="right" vertical="center" indent="1"/>
    </xf>
    <xf numFmtId="0" fontId="3" fillId="0" borderId="15" xfId="0" applyFont="1" applyBorder="1"/>
    <xf numFmtId="0" fontId="33" fillId="2" borderId="0" xfId="0" applyFont="1" applyFill="1" applyAlignment="1">
      <alignment horizontal="left" vertical="center" indent="1"/>
    </xf>
    <xf numFmtId="0" fontId="33" fillId="2" borderId="0" xfId="0" applyFont="1" applyFill="1" applyAlignment="1">
      <alignment horizontal="left" vertical="center"/>
    </xf>
    <xf numFmtId="44" fontId="33" fillId="2" borderId="0" xfId="4" applyFont="1" applyFill="1" applyAlignment="1">
      <alignment horizontal="left" vertical="center"/>
    </xf>
    <xf numFmtId="166" fontId="33" fillId="2" borderId="0" xfId="4" applyNumberFormat="1" applyFont="1" applyFill="1" applyAlignment="1">
      <alignment horizontal="left" vertical="center"/>
    </xf>
    <xf numFmtId="0" fontId="33" fillId="2" borderId="0" xfId="0" applyFont="1" applyFill="1" applyAlignment="1">
      <alignment horizontal="center" vertical="center"/>
    </xf>
    <xf numFmtId="6" fontId="33" fillId="2" borderId="0" xfId="0" applyNumberFormat="1" applyFont="1" applyFill="1" applyAlignment="1">
      <alignment horizontal="right" vertical="center"/>
    </xf>
    <xf numFmtId="6" fontId="33" fillId="2" borderId="0" xfId="0" applyNumberFormat="1" applyFont="1" applyFill="1" applyAlignment="1">
      <alignment horizontal="right" vertical="center" indent="1"/>
    </xf>
    <xf numFmtId="0" fontId="6" fillId="2" borderId="0" xfId="0" applyFont="1" applyFill="1" applyAlignment="1">
      <alignment horizontal="left" vertical="top" indent="1"/>
    </xf>
    <xf numFmtId="0" fontId="9" fillId="2" borderId="0" xfId="0" applyFont="1" applyFill="1"/>
    <xf numFmtId="0" fontId="6" fillId="2" borderId="0" xfId="0" applyFont="1" applyFill="1" applyAlignment="1">
      <alignment vertical="top"/>
    </xf>
    <xf numFmtId="0" fontId="10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right" indent="1"/>
    </xf>
    <xf numFmtId="0" fontId="29" fillId="2" borderId="0" xfId="0" applyFont="1" applyFill="1"/>
    <xf numFmtId="0" fontId="6" fillId="2" borderId="0" xfId="0" applyFont="1" applyFill="1" applyAlignment="1">
      <alignment horizontal="left" vertical="top"/>
    </xf>
    <xf numFmtId="0" fontId="44" fillId="0" borderId="0" xfId="0" applyFont="1" applyAlignment="1">
      <alignment vertical="center"/>
    </xf>
    <xf numFmtId="0" fontId="14" fillId="2" borderId="2" xfId="0" applyFont="1" applyFill="1" applyBorder="1" applyAlignment="1">
      <alignment horizontal="left" vertical="center" indent="1"/>
    </xf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right" vertical="center"/>
    </xf>
    <xf numFmtId="0" fontId="14" fillId="2" borderId="0" xfId="0" applyFont="1" applyFill="1" applyAlignment="1">
      <alignment horizontal="right" vertical="center" indent="1"/>
    </xf>
    <xf numFmtId="0" fontId="45" fillId="2" borderId="0" xfId="0" applyFont="1" applyFill="1" applyAlignment="1">
      <alignment vertical="center"/>
    </xf>
    <xf numFmtId="0" fontId="32" fillId="2" borderId="16" xfId="0" applyFont="1" applyFill="1" applyBorder="1" applyAlignment="1">
      <alignment horizontal="left" vertical="center" indent="1"/>
    </xf>
    <xf numFmtId="0" fontId="3" fillId="2" borderId="16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/>
    </xf>
    <xf numFmtId="3" fontId="3" fillId="2" borderId="16" xfId="0" applyNumberFormat="1" applyFont="1" applyFill="1" applyBorder="1" applyAlignment="1">
      <alignment vertical="center"/>
    </xf>
    <xf numFmtId="8" fontId="3" fillId="2" borderId="16" xfId="0" applyNumberFormat="1" applyFont="1" applyFill="1" applyBorder="1" applyAlignment="1">
      <alignment horizontal="right" vertical="center"/>
    </xf>
    <xf numFmtId="6" fontId="3" fillId="2" borderId="16" xfId="0" applyNumberFormat="1" applyFont="1" applyFill="1" applyBorder="1" applyAlignment="1">
      <alignment horizontal="right" vertical="center"/>
    </xf>
    <xf numFmtId="0" fontId="32" fillId="2" borderId="17" xfId="0" applyFont="1" applyFill="1" applyBorder="1" applyAlignment="1">
      <alignment horizontal="left" vertical="center" indent="1"/>
    </xf>
    <xf numFmtId="0" fontId="3" fillId="2" borderId="17" xfId="0" applyFont="1" applyFill="1" applyBorder="1" applyAlignment="1">
      <alignment vertical="center"/>
    </xf>
    <xf numFmtId="170" fontId="3" fillId="2" borderId="17" xfId="0" applyNumberFormat="1" applyFont="1" applyFill="1" applyBorder="1" applyAlignment="1">
      <alignment vertical="center"/>
    </xf>
    <xf numFmtId="169" fontId="38" fillId="2" borderId="17" xfId="0" applyNumberFormat="1" applyFont="1" applyFill="1" applyBorder="1" applyAlignment="1">
      <alignment horizontal="right" vertical="center"/>
    </xf>
    <xf numFmtId="8" fontId="3" fillId="2" borderId="17" xfId="0" applyNumberFormat="1" applyFont="1" applyFill="1" applyBorder="1" applyAlignment="1">
      <alignment horizontal="right" vertical="center"/>
    </xf>
    <xf numFmtId="0" fontId="3" fillId="2" borderId="17" xfId="0" applyFont="1" applyFill="1" applyBorder="1" applyAlignment="1">
      <alignment horizontal="left" vertical="center"/>
    </xf>
    <xf numFmtId="6" fontId="3" fillId="2" borderId="17" xfId="0" applyNumberFormat="1" applyFont="1" applyFill="1" applyBorder="1" applyAlignment="1">
      <alignment horizontal="right" vertical="center"/>
    </xf>
    <xf numFmtId="0" fontId="32" fillId="2" borderId="17" xfId="0" applyFont="1" applyFill="1" applyBorder="1" applyAlignment="1">
      <alignment horizontal="left" vertical="center"/>
    </xf>
    <xf numFmtId="170" fontId="3" fillId="2" borderId="17" xfId="0" applyNumberFormat="1" applyFont="1" applyFill="1" applyBorder="1" applyAlignment="1">
      <alignment horizontal="center" vertical="center"/>
    </xf>
    <xf numFmtId="170" fontId="3" fillId="2" borderId="17" xfId="0" applyNumberFormat="1" applyFont="1" applyFill="1" applyBorder="1" applyAlignment="1">
      <alignment horizontal="left" vertical="center"/>
    </xf>
    <xf numFmtId="0" fontId="46" fillId="0" borderId="0" xfId="0" applyFont="1"/>
    <xf numFmtId="0" fontId="46" fillId="2" borderId="0" xfId="0" applyFont="1" applyFill="1"/>
    <xf numFmtId="6" fontId="21" fillId="2" borderId="4" xfId="0" applyNumberFormat="1" applyFont="1" applyFill="1" applyBorder="1" applyAlignment="1">
      <alignment horizontal="left" indent="1"/>
    </xf>
    <xf numFmtId="6" fontId="21" fillId="2" borderId="4" xfId="0" applyNumberFormat="1" applyFont="1" applyFill="1" applyBorder="1"/>
    <xf numFmtId="6" fontId="21" fillId="2" borderId="4" xfId="0" applyNumberFormat="1" applyFont="1" applyFill="1" applyBorder="1" applyAlignment="1">
      <alignment horizontal="right"/>
    </xf>
    <xf numFmtId="6" fontId="21" fillId="2" borderId="0" xfId="0" applyNumberFormat="1" applyFont="1" applyFill="1" applyAlignment="1">
      <alignment horizontal="right" indent="1"/>
    </xf>
    <xf numFmtId="0" fontId="21" fillId="2" borderId="0" xfId="0" applyFont="1" applyFill="1" applyAlignment="1">
      <alignment horizontal="left" vertical="center" indent="1"/>
    </xf>
    <xf numFmtId="0" fontId="22" fillId="2" borderId="0" xfId="0" applyFont="1" applyFill="1" applyAlignment="1">
      <alignment horizontal="left" vertical="center"/>
    </xf>
    <xf numFmtId="44" fontId="22" fillId="2" borderId="0" xfId="4" applyFont="1" applyFill="1" applyAlignment="1">
      <alignment horizontal="left" vertical="center"/>
    </xf>
    <xf numFmtId="166" fontId="22" fillId="2" borderId="0" xfId="4" applyNumberFormat="1" applyFont="1" applyFill="1" applyAlignment="1">
      <alignment horizontal="left" vertical="center"/>
    </xf>
    <xf numFmtId="6" fontId="21" fillId="2" borderId="0" xfId="0" applyNumberFormat="1" applyFont="1" applyFill="1" applyAlignment="1">
      <alignment horizontal="right" vertical="center"/>
    </xf>
    <xf numFmtId="6" fontId="21" fillId="2" borderId="0" xfId="0" applyNumberFormat="1" applyFont="1" applyFill="1" applyAlignment="1">
      <alignment horizontal="right" vertical="center" indent="1"/>
    </xf>
    <xf numFmtId="170" fontId="3" fillId="2" borderId="0" xfId="0" applyNumberFormat="1" applyFont="1" applyFill="1" applyAlignment="1">
      <alignment horizontal="center" vertical="center"/>
    </xf>
    <xf numFmtId="8" fontId="3" fillId="2" borderId="0" xfId="0" applyNumberFormat="1" applyFont="1" applyFill="1" applyAlignment="1">
      <alignment horizontal="right" vertical="center"/>
    </xf>
    <xf numFmtId="8" fontId="3" fillId="2" borderId="0" xfId="0" applyNumberFormat="1" applyFont="1" applyFill="1" applyAlignment="1">
      <alignment horizontal="left" vertical="center"/>
    </xf>
    <xf numFmtId="6" fontId="3" fillId="2" borderId="0" xfId="0" applyNumberFormat="1" applyFont="1" applyFill="1" applyAlignment="1">
      <alignment horizontal="right" vertical="center"/>
    </xf>
    <xf numFmtId="0" fontId="2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left" vertical="center" indent="1"/>
    </xf>
    <xf numFmtId="170" fontId="3" fillId="2" borderId="2" xfId="0" applyNumberFormat="1" applyFont="1" applyFill="1" applyBorder="1" applyAlignment="1">
      <alignment horizontal="left" vertical="center"/>
    </xf>
    <xf numFmtId="169" fontId="3" fillId="2" borderId="2" xfId="0" applyNumberFormat="1" applyFont="1" applyFill="1" applyBorder="1" applyAlignment="1">
      <alignment horizontal="right" vertical="center"/>
    </xf>
    <xf numFmtId="8" fontId="3" fillId="2" borderId="2" xfId="0" applyNumberFormat="1" applyFont="1" applyFill="1" applyBorder="1" applyAlignment="1">
      <alignment horizontal="right" vertical="center"/>
    </xf>
    <xf numFmtId="8" fontId="3" fillId="2" borderId="2" xfId="0" applyNumberFormat="1" applyFont="1" applyFill="1" applyBorder="1" applyAlignment="1">
      <alignment horizontal="left" vertical="center"/>
    </xf>
    <xf numFmtId="6" fontId="3" fillId="2" borderId="2" xfId="0" applyNumberFormat="1" applyFont="1" applyFill="1" applyBorder="1" applyAlignment="1">
      <alignment horizontal="right" vertical="center"/>
    </xf>
    <xf numFmtId="0" fontId="2" fillId="2" borderId="15" xfId="0" applyFont="1" applyFill="1" applyBorder="1" applyAlignment="1">
      <alignment vertical="center"/>
    </xf>
    <xf numFmtId="0" fontId="47" fillId="0" borderId="0" xfId="0" applyFont="1" applyAlignment="1">
      <alignment vertical="center"/>
    </xf>
    <xf numFmtId="0" fontId="47" fillId="0" borderId="0" xfId="0" applyFont="1" applyAlignment="1">
      <alignment horizontal="left" vertical="center" indent="1"/>
    </xf>
    <xf numFmtId="0" fontId="47" fillId="0" borderId="0" xfId="0" applyFont="1" applyAlignment="1">
      <alignment horizontal="left" vertical="center"/>
    </xf>
    <xf numFmtId="170" fontId="47" fillId="0" borderId="0" xfId="0" applyNumberFormat="1" applyFont="1" applyAlignment="1">
      <alignment horizontal="center" vertical="center"/>
    </xf>
    <xf numFmtId="170" fontId="47" fillId="0" borderId="0" xfId="0" applyNumberFormat="1" applyFont="1" applyAlignment="1">
      <alignment horizontal="left" vertical="center"/>
    </xf>
    <xf numFmtId="169" fontId="47" fillId="0" borderId="0" xfId="0" applyNumberFormat="1" applyFont="1" applyAlignment="1">
      <alignment horizontal="right" vertical="center"/>
    </xf>
    <xf numFmtId="8" fontId="47" fillId="0" borderId="0" xfId="0" applyNumberFormat="1" applyFont="1" applyAlignment="1">
      <alignment horizontal="right" vertical="center"/>
    </xf>
    <xf numFmtId="8" fontId="47" fillId="0" borderId="0" xfId="0" applyNumberFormat="1" applyFont="1" applyAlignment="1">
      <alignment horizontal="left" vertical="center"/>
    </xf>
    <xf numFmtId="6" fontId="47" fillId="0" borderId="0" xfId="0" applyNumberFormat="1" applyFont="1" applyAlignment="1">
      <alignment horizontal="right" vertical="center"/>
    </xf>
    <xf numFmtId="6" fontId="47" fillId="0" borderId="0" xfId="0" applyNumberFormat="1" applyFont="1" applyAlignment="1">
      <alignment horizontal="right" vertical="center" indent="1"/>
    </xf>
    <xf numFmtId="0" fontId="48" fillId="0" borderId="0" xfId="0" applyFont="1" applyAlignment="1">
      <alignment horizontal="left" vertical="center" indent="2"/>
    </xf>
    <xf numFmtId="44" fontId="47" fillId="0" borderId="0" xfId="4" applyFont="1" applyAlignment="1">
      <alignment horizontal="left" vertical="center"/>
    </xf>
    <xf numFmtId="166" fontId="47" fillId="0" borderId="0" xfId="4" applyNumberFormat="1" applyFont="1" applyAlignment="1">
      <alignment horizontal="left" vertical="center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right" vertical="center" indent="1"/>
    </xf>
    <xf numFmtId="0" fontId="49" fillId="0" borderId="0" xfId="0" applyFont="1" applyAlignment="1">
      <alignment horizontal="left" vertical="center" indent="2"/>
    </xf>
    <xf numFmtId="0" fontId="47" fillId="0" borderId="0" xfId="0" applyFont="1"/>
    <xf numFmtId="0" fontId="47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32" fillId="3" borderId="0" xfId="0" applyFont="1" applyFill="1" applyAlignment="1">
      <alignment horizontal="left" vertical="center" indent="1"/>
    </xf>
    <xf numFmtId="0" fontId="3" fillId="3" borderId="0" xfId="0" applyFont="1" applyFill="1" applyAlignment="1">
      <alignment horizontal="left" vertical="top" indent="1"/>
    </xf>
    <xf numFmtId="6" fontId="21" fillId="2" borderId="4" xfId="0" applyNumberFormat="1" applyFont="1" applyFill="1" applyBorder="1" applyAlignment="1">
      <alignment horizontal="left"/>
    </xf>
    <xf numFmtId="172" fontId="2" fillId="0" borderId="0" xfId="0" applyNumberFormat="1" applyFont="1" applyAlignment="1">
      <alignment horizontal="right" vertical="center" indent="1"/>
    </xf>
    <xf numFmtId="172" fontId="2" fillId="2" borderId="0" xfId="0" applyNumberFormat="1" applyFont="1" applyFill="1" applyAlignment="1">
      <alignment horizontal="right" vertical="center" indent="1"/>
    </xf>
    <xf numFmtId="0" fontId="24" fillId="2" borderId="0" xfId="0" applyFont="1" applyFill="1" applyAlignment="1">
      <alignment vertical="center"/>
    </xf>
    <xf numFmtId="172" fontId="6" fillId="2" borderId="0" xfId="0" applyNumberFormat="1" applyFont="1" applyFill="1" applyAlignment="1">
      <alignment horizontal="right" vertical="center" indent="1"/>
    </xf>
    <xf numFmtId="172" fontId="6" fillId="2" borderId="2" xfId="0" applyNumberFormat="1" applyFont="1" applyFill="1" applyBorder="1" applyAlignment="1">
      <alignment horizontal="right" vertical="center" indent="1"/>
    </xf>
    <xf numFmtId="172" fontId="6" fillId="0" borderId="0" xfId="0" applyNumberFormat="1" applyFont="1" applyAlignment="1">
      <alignment horizontal="right" vertical="center" indent="1"/>
    </xf>
    <xf numFmtId="172" fontId="9" fillId="0" borderId="0" xfId="0" applyNumberFormat="1" applyFont="1" applyAlignment="1">
      <alignment horizontal="right" indent="1"/>
    </xf>
    <xf numFmtId="172" fontId="12" fillId="0" borderId="0" xfId="0" applyNumberFormat="1" applyFont="1" applyAlignment="1">
      <alignment horizontal="right" indent="1"/>
    </xf>
    <xf numFmtId="172" fontId="14" fillId="0" borderId="2" xfId="0" applyNumberFormat="1" applyFont="1" applyBorder="1" applyAlignment="1">
      <alignment horizontal="right" indent="1"/>
    </xf>
    <xf numFmtId="171" fontId="3" fillId="2" borderId="0" xfId="4" applyNumberFormat="1" applyFont="1" applyFill="1" applyAlignment="1">
      <alignment horizontal="right" vertical="center"/>
    </xf>
    <xf numFmtId="172" fontId="18" fillId="2" borderId="0" xfId="4" applyNumberFormat="1" applyFont="1" applyFill="1" applyAlignment="1">
      <alignment horizontal="right" vertical="center" indent="1"/>
    </xf>
    <xf numFmtId="171" fontId="3" fillId="0" borderId="0" xfId="4" applyNumberFormat="1" applyFont="1" applyAlignment="1">
      <alignment horizontal="right" vertical="center"/>
    </xf>
    <xf numFmtId="172" fontId="18" fillId="0" borderId="0" xfId="4" applyNumberFormat="1" applyFont="1" applyAlignment="1">
      <alignment horizontal="right" vertical="center" indent="1"/>
    </xf>
    <xf numFmtId="165" fontId="20" fillId="0" borderId="4" xfId="0" applyNumberFormat="1" applyFont="1" applyBorder="1" applyAlignment="1">
      <alignment horizontal="right" vertical="center"/>
    </xf>
    <xf numFmtId="172" fontId="20" fillId="0" borderId="4" xfId="4" applyNumberFormat="1" applyFont="1" applyBorder="1" applyAlignment="1">
      <alignment horizontal="right" vertical="center" indent="1"/>
    </xf>
    <xf numFmtId="172" fontId="21" fillId="0" borderId="0" xfId="0" applyNumberFormat="1" applyFont="1" applyAlignment="1">
      <alignment horizontal="right" vertical="center" indent="1"/>
    </xf>
    <xf numFmtId="172" fontId="12" fillId="0" borderId="0" xfId="4" applyNumberFormat="1" applyFont="1" applyAlignment="1">
      <alignment horizontal="right" vertical="center" indent="1"/>
    </xf>
    <xf numFmtId="0" fontId="11" fillId="0" borderId="0" xfId="0" applyFont="1" applyAlignment="1">
      <alignment vertical="top"/>
    </xf>
    <xf numFmtId="172" fontId="2" fillId="0" borderId="0" xfId="0" applyNumberFormat="1" applyFont="1" applyAlignment="1">
      <alignment horizontal="right" vertical="top" indent="1"/>
    </xf>
    <xf numFmtId="172" fontId="20" fillId="0" borderId="4" xfId="0" applyNumberFormat="1" applyFont="1" applyBorder="1" applyAlignment="1">
      <alignment horizontal="right" vertical="center" indent="1"/>
    </xf>
    <xf numFmtId="172" fontId="2" fillId="0" borderId="0" xfId="0" applyNumberFormat="1" applyFont="1" applyAlignment="1">
      <alignment horizontal="right" indent="1"/>
    </xf>
    <xf numFmtId="172" fontId="3" fillId="0" borderId="0" xfId="0" applyNumberFormat="1" applyFont="1" applyAlignment="1">
      <alignment horizontal="right" indent="1"/>
    </xf>
    <xf numFmtId="172" fontId="23" fillId="0" borderId="0" xfId="0" applyNumberFormat="1" applyFont="1" applyAlignment="1">
      <alignment horizontal="right" vertical="center" indent="1"/>
    </xf>
    <xf numFmtId="172" fontId="14" fillId="0" borderId="2" xfId="0" applyNumberFormat="1" applyFont="1" applyBorder="1" applyAlignment="1">
      <alignment horizontal="right" vertical="center" indent="1"/>
    </xf>
    <xf numFmtId="173" fontId="3" fillId="2" borderId="0" xfId="4" applyNumberFormat="1" applyFont="1" applyFill="1" applyAlignment="1">
      <alignment horizontal="center" vertical="center"/>
    </xf>
    <xf numFmtId="173" fontId="3" fillId="2" borderId="0" xfId="4" applyNumberFormat="1" applyFont="1" applyFill="1" applyAlignment="1">
      <alignment horizontal="left" vertical="center"/>
    </xf>
    <xf numFmtId="172" fontId="3" fillId="2" borderId="0" xfId="0" applyNumberFormat="1" applyFont="1" applyFill="1" applyAlignment="1">
      <alignment horizontal="right" vertical="center" indent="1"/>
    </xf>
    <xf numFmtId="173" fontId="3" fillId="0" borderId="0" xfId="4" applyNumberFormat="1" applyFont="1" applyAlignment="1">
      <alignment horizontal="center" vertical="center"/>
    </xf>
    <xf numFmtId="173" fontId="3" fillId="0" borderId="0" xfId="4" applyNumberFormat="1" applyFont="1" applyAlignment="1">
      <alignment horizontal="left" vertical="center"/>
    </xf>
    <xf numFmtId="172" fontId="3" fillId="0" borderId="0" xfId="0" applyNumberFormat="1" applyFont="1" applyAlignment="1">
      <alignment horizontal="right" vertical="center" indent="1"/>
    </xf>
    <xf numFmtId="172" fontId="33" fillId="0" borderId="0" xfId="0" applyNumberFormat="1" applyFont="1" applyAlignment="1">
      <alignment horizontal="right" vertical="center" indent="1"/>
    </xf>
    <xf numFmtId="172" fontId="9" fillId="0" borderId="0" xfId="0" applyNumberFormat="1" applyFont="1" applyAlignment="1">
      <alignment horizontal="right" vertical="top" indent="1"/>
    </xf>
    <xf numFmtId="171" fontId="3" fillId="2" borderId="0" xfId="4" applyNumberFormat="1" applyFont="1" applyFill="1" applyAlignment="1">
      <alignment vertical="center"/>
    </xf>
    <xf numFmtId="171" fontId="3" fillId="0" borderId="0" xfId="4" applyNumberFormat="1" applyFont="1" applyAlignment="1">
      <alignment horizontal="center" vertical="center"/>
    </xf>
    <xf numFmtId="172" fontId="3" fillId="2" borderId="2" xfId="0" applyNumberFormat="1" applyFont="1" applyFill="1" applyBorder="1" applyAlignment="1">
      <alignment horizontal="right" vertical="center" indent="1"/>
    </xf>
    <xf numFmtId="172" fontId="37" fillId="6" borderId="4" xfId="4" applyNumberFormat="1" applyFont="1" applyFill="1" applyBorder="1" applyAlignment="1">
      <alignment horizontal="right" vertical="center" indent="1"/>
    </xf>
    <xf numFmtId="172" fontId="37" fillId="7" borderId="0" xfId="4" applyNumberFormat="1" applyFont="1" applyFill="1" applyAlignment="1">
      <alignment horizontal="right" vertical="center" indent="1"/>
    </xf>
    <xf numFmtId="172" fontId="37" fillId="6" borderId="0" xfId="4" applyNumberFormat="1" applyFont="1" applyFill="1" applyAlignment="1">
      <alignment horizontal="right" vertical="center" indent="1"/>
    </xf>
    <xf numFmtId="172" fontId="37" fillId="6" borderId="2" xfId="0" applyNumberFormat="1" applyFont="1" applyFill="1" applyBorder="1" applyAlignment="1">
      <alignment horizontal="right" vertical="center" indent="1"/>
    </xf>
    <xf numFmtId="171" fontId="3" fillId="2" borderId="0" xfId="0" applyNumberFormat="1" applyFont="1" applyFill="1" applyAlignment="1">
      <alignment vertical="center"/>
    </xf>
    <xf numFmtId="174" fontId="3" fillId="0" borderId="0" xfId="0" applyNumberFormat="1" applyFont="1" applyAlignment="1">
      <alignment horizontal="right" vertical="center"/>
    </xf>
    <xf numFmtId="171" fontId="3" fillId="0" borderId="0" xfId="0" applyNumberFormat="1" applyFont="1" applyAlignment="1">
      <alignment vertical="center"/>
    </xf>
    <xf numFmtId="174" fontId="3" fillId="2" borderId="2" xfId="0" applyNumberFormat="1" applyFont="1" applyFill="1" applyBorder="1" applyAlignment="1">
      <alignment horizontal="right" vertical="center"/>
    </xf>
    <xf numFmtId="172" fontId="22" fillId="0" borderId="0" xfId="0" applyNumberFormat="1" applyFont="1" applyAlignment="1">
      <alignment horizontal="right" vertical="center" indent="1"/>
    </xf>
    <xf numFmtId="174" fontId="3" fillId="2" borderId="4" xfId="0" applyNumberFormat="1" applyFont="1" applyFill="1" applyBorder="1" applyAlignment="1">
      <alignment horizontal="left" vertical="center"/>
    </xf>
    <xf numFmtId="171" fontId="3" fillId="2" borderId="13" xfId="0" applyNumberFormat="1" applyFont="1" applyFill="1" applyBorder="1" applyAlignment="1">
      <alignment horizontal="left" vertical="center"/>
    </xf>
    <xf numFmtId="172" fontId="19" fillId="2" borderId="0" xfId="0" applyNumberFormat="1" applyFont="1" applyFill="1" applyAlignment="1">
      <alignment horizontal="right" vertical="center" indent="1"/>
    </xf>
    <xf numFmtId="174" fontId="3" fillId="0" borderId="2" xfId="0" applyNumberFormat="1" applyFont="1" applyBorder="1" applyAlignment="1">
      <alignment horizontal="left" vertical="center"/>
    </xf>
    <xf numFmtId="171" fontId="3" fillId="0" borderId="14" xfId="0" applyNumberFormat="1" applyFont="1" applyBorder="1" applyAlignment="1">
      <alignment horizontal="left" vertical="center"/>
    </xf>
    <xf numFmtId="172" fontId="19" fillId="0" borderId="0" xfId="0" applyNumberFormat="1" applyFont="1" applyAlignment="1">
      <alignment horizontal="right" vertical="center" indent="1"/>
    </xf>
    <xf numFmtId="172" fontId="3" fillId="2" borderId="0" xfId="4" applyNumberFormat="1" applyFont="1" applyFill="1" applyAlignment="1">
      <alignment horizontal="right" vertical="center" indent="1"/>
    </xf>
    <xf numFmtId="172" fontId="3" fillId="0" borderId="0" xfId="4" applyNumberFormat="1" applyFont="1" applyAlignment="1">
      <alignment horizontal="right" vertical="center" indent="1"/>
    </xf>
    <xf numFmtId="172" fontId="2" fillId="0" borderId="4" xfId="0" applyNumberFormat="1" applyFont="1" applyBorder="1" applyAlignment="1">
      <alignment horizontal="right" vertical="center" indent="1"/>
    </xf>
    <xf numFmtId="172" fontId="3" fillId="0" borderId="4" xfId="0" applyNumberFormat="1" applyFont="1" applyBorder="1" applyAlignment="1">
      <alignment horizontal="right" vertical="center" indent="1"/>
    </xf>
    <xf numFmtId="172" fontId="25" fillId="0" borderId="0" xfId="0" applyNumberFormat="1" applyFont="1" applyAlignment="1">
      <alignment horizontal="right" vertical="center" indent="1"/>
    </xf>
    <xf numFmtId="172" fontId="2" fillId="0" borderId="0" xfId="0" applyNumberFormat="1" applyFont="1" applyAlignment="1">
      <alignment horizontal="right" vertical="top"/>
    </xf>
    <xf numFmtId="172" fontId="33" fillId="0" borderId="2" xfId="0" applyNumberFormat="1" applyFont="1" applyBorder="1" applyAlignment="1">
      <alignment horizontal="right" vertical="center" indent="1"/>
    </xf>
    <xf numFmtId="172" fontId="33" fillId="2" borderId="0" xfId="0" applyNumberFormat="1" applyFont="1" applyFill="1" applyAlignment="1">
      <alignment horizontal="right" vertical="center" indent="1"/>
    </xf>
    <xf numFmtId="172" fontId="9" fillId="2" borderId="0" xfId="0" applyNumberFormat="1" applyFont="1" applyFill="1" applyAlignment="1">
      <alignment horizontal="right" indent="1"/>
    </xf>
    <xf numFmtId="172" fontId="14" fillId="2" borderId="0" xfId="0" applyNumberFormat="1" applyFont="1" applyFill="1" applyAlignment="1">
      <alignment horizontal="right" vertical="center" indent="1"/>
    </xf>
    <xf numFmtId="172" fontId="3" fillId="2" borderId="16" xfId="0" applyNumberFormat="1" applyFont="1" applyFill="1" applyBorder="1" applyAlignment="1">
      <alignment horizontal="right" vertical="center"/>
    </xf>
    <xf numFmtId="172" fontId="3" fillId="2" borderId="17" xfId="0" applyNumberFormat="1" applyFont="1" applyFill="1" applyBorder="1" applyAlignment="1">
      <alignment horizontal="right" vertical="center"/>
    </xf>
    <xf numFmtId="171" fontId="21" fillId="2" borderId="4" xfId="0" applyNumberFormat="1" applyFont="1" applyFill="1" applyBorder="1" applyAlignment="1">
      <alignment horizontal="left"/>
    </xf>
    <xf numFmtId="171" fontId="21" fillId="2" borderId="4" xfId="0" applyNumberFormat="1" applyFont="1" applyFill="1" applyBorder="1" applyAlignment="1">
      <alignment horizontal="right"/>
    </xf>
    <xf numFmtId="172" fontId="21" fillId="2" borderId="4" xfId="0" applyNumberFormat="1" applyFont="1" applyFill="1" applyBorder="1" applyAlignment="1">
      <alignment horizontal="right"/>
    </xf>
    <xf numFmtId="172" fontId="21" fillId="2" borderId="0" xfId="0" applyNumberFormat="1" applyFont="1" applyFill="1" applyAlignment="1">
      <alignment horizontal="right" indent="1"/>
    </xf>
    <xf numFmtId="172" fontId="21" fillId="2" borderId="0" xfId="0" applyNumberFormat="1" applyFont="1" applyFill="1" applyAlignment="1">
      <alignment horizontal="right" vertical="center" indent="1"/>
    </xf>
    <xf numFmtId="172" fontId="47" fillId="0" borderId="0" xfId="0" applyNumberFormat="1" applyFont="1" applyAlignment="1">
      <alignment horizontal="right" vertical="center" indent="1"/>
    </xf>
    <xf numFmtId="169" fontId="3" fillId="2" borderId="0" xfId="0" applyNumberFormat="1" applyFont="1" applyFill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right"/>
    </xf>
    <xf numFmtId="175" fontId="0" fillId="5" borderId="0" xfId="0" applyNumberFormat="1" applyFill="1" applyAlignment="1">
      <alignment horizontal="right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right" vertical="center"/>
    </xf>
    <xf numFmtId="175" fontId="2" fillId="5" borderId="0" xfId="0" applyNumberFormat="1" applyFont="1" applyFill="1" applyAlignment="1">
      <alignment horizontal="right" vertical="center"/>
    </xf>
    <xf numFmtId="0" fontId="2" fillId="5" borderId="0" xfId="0" applyFont="1" applyFill="1" applyAlignment="1">
      <alignment horizontal="center" vertical="center"/>
    </xf>
    <xf numFmtId="0" fontId="29" fillId="5" borderId="0" xfId="0" applyFont="1" applyFill="1" applyAlignment="1">
      <alignment vertical="center"/>
    </xf>
    <xf numFmtId="0" fontId="14" fillId="5" borderId="2" xfId="0" applyFont="1" applyFill="1" applyBorder="1" applyAlignment="1">
      <alignment horizontal="left" vertical="center"/>
    </xf>
    <xf numFmtId="0" fontId="14" fillId="5" borderId="2" xfId="0" applyFont="1" applyFill="1" applyBorder="1" applyAlignment="1">
      <alignment vertical="center"/>
    </xf>
    <xf numFmtId="0" fontId="14" fillId="5" borderId="2" xfId="0" applyFont="1" applyFill="1" applyBorder="1" applyAlignment="1">
      <alignment horizontal="right" vertical="center"/>
    </xf>
    <xf numFmtId="175" fontId="14" fillId="5" borderId="2" xfId="0" applyNumberFormat="1" applyFont="1" applyFill="1" applyBorder="1" applyAlignment="1">
      <alignment horizontal="right" vertical="center"/>
    </xf>
    <xf numFmtId="0" fontId="50" fillId="2" borderId="0" xfId="0" applyFont="1" applyFill="1" applyAlignment="1">
      <alignment horizontal="left" vertical="center" indent="1"/>
    </xf>
    <xf numFmtId="8" fontId="17" fillId="4" borderId="3" xfId="4" applyNumberFormat="1" applyFont="1" applyFill="1" applyBorder="1" applyAlignment="1">
      <alignment horizontal="right" vertical="center"/>
    </xf>
    <xf numFmtId="176" fontId="6" fillId="2" borderId="0" xfId="4" applyNumberFormat="1" applyFont="1" applyFill="1" applyAlignment="1">
      <alignment horizontal="left" vertical="center"/>
    </xf>
    <xf numFmtId="177" fontId="6" fillId="2" borderId="0" xfId="4" applyNumberFormat="1" applyFont="1" applyFill="1" applyAlignment="1">
      <alignment horizontal="left" vertical="center"/>
    </xf>
    <xf numFmtId="0" fontId="51" fillId="2" borderId="0" xfId="0" applyFont="1" applyFill="1" applyAlignment="1">
      <alignment horizontal="left" vertical="center" indent="1"/>
    </xf>
    <xf numFmtId="0" fontId="51" fillId="2" borderId="0" xfId="0" applyFont="1" applyFill="1" applyAlignment="1">
      <alignment vertical="center"/>
    </xf>
    <xf numFmtId="178" fontId="3" fillId="3" borderId="3" xfId="4" applyNumberFormat="1" applyFont="1" applyFill="1" applyBorder="1" applyAlignment="1">
      <alignment horizontal="center" vertical="center"/>
    </xf>
    <xf numFmtId="0" fontId="50" fillId="5" borderId="0" xfId="0" applyFont="1" applyFill="1" applyAlignment="1">
      <alignment horizontal="left" vertical="center" indent="1"/>
    </xf>
    <xf numFmtId="0" fontId="6" fillId="5" borderId="0" xfId="0" applyFont="1" applyFill="1" applyAlignment="1">
      <alignment horizontal="left" vertical="center"/>
    </xf>
    <xf numFmtId="176" fontId="6" fillId="5" borderId="0" xfId="4" applyNumberFormat="1" applyFont="1" applyFill="1" applyAlignment="1">
      <alignment horizontal="left" vertical="center"/>
    </xf>
    <xf numFmtId="177" fontId="6" fillId="5" borderId="0" xfId="4" applyNumberFormat="1" applyFont="1" applyFill="1" applyAlignment="1">
      <alignment horizontal="left" vertical="center"/>
    </xf>
    <xf numFmtId="175" fontId="6" fillId="5" borderId="0" xfId="4" applyNumberFormat="1" applyFont="1" applyFill="1" applyAlignment="1">
      <alignment horizontal="right" vertical="center"/>
    </xf>
    <xf numFmtId="0" fontId="51" fillId="5" borderId="0" xfId="0" applyFont="1" applyFill="1" applyAlignment="1">
      <alignment horizontal="left" vertical="center" indent="1"/>
    </xf>
    <xf numFmtId="178" fontId="3" fillId="3" borderId="10" xfId="4" applyNumberFormat="1" applyFont="1" applyFill="1" applyBorder="1" applyAlignment="1">
      <alignment horizontal="center" vertical="center"/>
    </xf>
    <xf numFmtId="178" fontId="3" fillId="3" borderId="6" xfId="4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vertical="center"/>
    </xf>
    <xf numFmtId="0" fontId="2" fillId="5" borderId="4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176" fontId="28" fillId="2" borderId="0" xfId="4" applyNumberFormat="1" applyFont="1" applyFill="1" applyAlignment="1">
      <alignment horizontal="right" vertical="center"/>
    </xf>
    <xf numFmtId="177" fontId="28" fillId="2" borderId="0" xfId="4" applyNumberFormat="1" applyFont="1" applyFill="1" applyAlignment="1">
      <alignment horizontal="right" vertical="center"/>
    </xf>
    <xf numFmtId="0" fontId="52" fillId="2" borderId="0" xfId="0" applyFont="1" applyFill="1" applyAlignment="1">
      <alignment horizontal="left" vertical="center"/>
    </xf>
    <xf numFmtId="0" fontId="17" fillId="4" borderId="3" xfId="4" applyNumberFormat="1" applyFont="1" applyFill="1" applyBorder="1" applyAlignment="1">
      <alignment horizontal="center" vertical="center"/>
    </xf>
    <xf numFmtId="44" fontId="6" fillId="2" borderId="0" xfId="4" applyFont="1" applyFill="1" applyAlignment="1">
      <alignment horizontal="left" vertical="center"/>
    </xf>
    <xf numFmtId="176" fontId="28" fillId="5" borderId="0" xfId="4" applyNumberFormat="1" applyFont="1" applyFill="1" applyAlignment="1">
      <alignment horizontal="right" vertical="center"/>
    </xf>
    <xf numFmtId="177" fontId="28" fillId="5" borderId="0" xfId="4" applyNumberFormat="1" applyFont="1" applyFill="1" applyAlignment="1">
      <alignment horizontal="right" vertical="center"/>
    </xf>
    <xf numFmtId="0" fontId="52" fillId="5" borderId="0" xfId="0" applyFont="1" applyFill="1" applyAlignment="1">
      <alignment horizontal="left" vertical="center"/>
    </xf>
    <xf numFmtId="44" fontId="6" fillId="5" borderId="0" xfId="4" applyFont="1" applyFill="1" applyAlignment="1">
      <alignment horizontal="left" vertical="center"/>
    </xf>
    <xf numFmtId="0" fontId="46" fillId="5" borderId="0" xfId="0" applyFont="1" applyFill="1" applyAlignment="1">
      <alignment vertical="center"/>
    </xf>
    <xf numFmtId="0" fontId="21" fillId="5" borderId="4" xfId="0" applyFont="1" applyFill="1" applyBorder="1" applyAlignment="1">
      <alignment horizontal="left" vertical="center"/>
    </xf>
    <xf numFmtId="0" fontId="21" fillId="5" borderId="4" xfId="0" applyFont="1" applyFill="1" applyBorder="1" applyAlignment="1">
      <alignment horizontal="center" vertical="center"/>
    </xf>
    <xf numFmtId="6" fontId="21" fillId="5" borderId="4" xfId="0" applyNumberFormat="1" applyFont="1" applyFill="1" applyBorder="1" applyAlignment="1">
      <alignment horizontal="right" vertical="center"/>
    </xf>
    <xf numFmtId="0" fontId="14" fillId="5" borderId="4" xfId="0" applyFont="1" applyFill="1" applyBorder="1" applyAlignment="1">
      <alignment horizontal="left" vertical="center"/>
    </xf>
    <xf numFmtId="0" fontId="14" fillId="5" borderId="4" xfId="0" applyFont="1" applyFill="1" applyBorder="1" applyAlignment="1">
      <alignment vertical="center"/>
    </xf>
    <xf numFmtId="0" fontId="14" fillId="5" borderId="4" xfId="0" applyFont="1" applyFill="1" applyBorder="1" applyAlignment="1">
      <alignment horizontal="right" vertical="center"/>
    </xf>
    <xf numFmtId="175" fontId="14" fillId="5" borderId="4" xfId="0" applyNumberFormat="1" applyFont="1" applyFill="1" applyBorder="1" applyAlignment="1">
      <alignment horizontal="right" vertical="center"/>
    </xf>
    <xf numFmtId="171" fontId="0" fillId="5" borderId="0" xfId="4" applyNumberFormat="1" applyFont="1" applyFill="1"/>
    <xf numFmtId="179" fontId="6" fillId="2" borderId="0" xfId="4" applyNumberFormat="1" applyFont="1" applyFill="1" applyAlignment="1">
      <alignment horizontal="left" vertical="center"/>
    </xf>
    <xf numFmtId="175" fontId="6" fillId="2" borderId="0" xfId="4" applyNumberFormat="1" applyFont="1" applyFill="1" applyAlignment="1">
      <alignment horizontal="right" vertical="center"/>
    </xf>
    <xf numFmtId="0" fontId="53" fillId="5" borderId="0" xfId="0" applyFont="1" applyFill="1"/>
    <xf numFmtId="166" fontId="17" fillId="4" borderId="3" xfId="4" applyNumberFormat="1" applyFont="1" applyFill="1" applyBorder="1" applyAlignment="1">
      <alignment horizontal="right" vertical="center"/>
    </xf>
    <xf numFmtId="0" fontId="2" fillId="5" borderId="4" xfId="0" applyFont="1" applyFill="1" applyBorder="1" applyAlignment="1">
      <alignment horizontal="right" vertical="center"/>
    </xf>
    <xf numFmtId="175" fontId="2" fillId="5" borderId="4" xfId="0" applyNumberFormat="1" applyFont="1" applyFill="1" applyBorder="1" applyAlignment="1">
      <alignment horizontal="right" vertical="center"/>
    </xf>
    <xf numFmtId="0" fontId="0" fillId="5" borderId="4" xfId="0" applyFill="1" applyBorder="1"/>
    <xf numFmtId="0" fontId="0" fillId="5" borderId="4" xfId="0" applyFill="1" applyBorder="1" applyAlignment="1">
      <alignment horizontal="right"/>
    </xf>
    <xf numFmtId="175" fontId="0" fillId="5" borderId="4" xfId="0" applyNumberFormat="1" applyFill="1" applyBorder="1" applyAlignment="1">
      <alignment horizontal="right"/>
    </xf>
    <xf numFmtId="8" fontId="17" fillId="4" borderId="18" xfId="4" applyNumberFormat="1" applyFont="1" applyFill="1" applyBorder="1" applyAlignment="1">
      <alignment horizontal="right" vertical="center"/>
    </xf>
    <xf numFmtId="0" fontId="53" fillId="5" borderId="4" xfId="0" applyFont="1" applyFill="1" applyBorder="1"/>
    <xf numFmtId="175" fontId="53" fillId="5" borderId="4" xfId="0" applyNumberFormat="1" applyFont="1" applyFill="1" applyBorder="1" applyAlignment="1">
      <alignment horizontal="right"/>
    </xf>
    <xf numFmtId="6" fontId="17" fillId="4" borderId="3" xfId="4" applyNumberFormat="1" applyFont="1" applyFill="1" applyBorder="1" applyAlignment="1">
      <alignment horizontal="right" vertical="center"/>
    </xf>
    <xf numFmtId="0" fontId="50" fillId="0" borderId="0" xfId="0" applyFont="1" applyAlignment="1">
      <alignment horizontal="left" vertical="center" indent="1"/>
    </xf>
    <xf numFmtId="176" fontId="6" fillId="2" borderId="0" xfId="4" applyNumberFormat="1" applyFont="1" applyFill="1" applyAlignment="1">
      <alignment horizontal="right" vertical="center"/>
    </xf>
    <xf numFmtId="177" fontId="6" fillId="2" borderId="0" xfId="4" applyNumberFormat="1" applyFont="1" applyFill="1" applyAlignment="1">
      <alignment horizontal="right" vertical="center"/>
    </xf>
    <xf numFmtId="176" fontId="6" fillId="5" borderId="0" xfId="4" applyNumberFormat="1" applyFont="1" applyFill="1" applyAlignment="1">
      <alignment horizontal="right" vertical="center"/>
    </xf>
    <xf numFmtId="177" fontId="6" fillId="5" borderId="0" xfId="4" applyNumberFormat="1" applyFont="1" applyFill="1" applyAlignment="1">
      <alignment horizontal="right" vertical="center"/>
    </xf>
    <xf numFmtId="8" fontId="17" fillId="4" borderId="3" xfId="4" quotePrefix="1" applyNumberFormat="1" applyFont="1" applyFill="1" applyBorder="1" applyAlignment="1">
      <alignment horizontal="right" vertical="center"/>
    </xf>
    <xf numFmtId="177" fontId="6" fillId="2" borderId="0" xfId="4" applyNumberFormat="1" applyFont="1" applyFill="1" applyAlignment="1">
      <alignment horizontal="right" vertical="center" wrapText="1"/>
    </xf>
    <xf numFmtId="177" fontId="6" fillId="5" borderId="0" xfId="4" applyNumberFormat="1" applyFont="1" applyFill="1" applyAlignment="1">
      <alignment horizontal="right" vertical="center" wrapText="1"/>
    </xf>
    <xf numFmtId="8" fontId="6" fillId="2" borderId="0" xfId="4" applyNumberFormat="1" applyFont="1" applyFill="1" applyAlignment="1">
      <alignment horizontal="right" vertical="center"/>
    </xf>
    <xf numFmtId="171" fontId="6" fillId="2" borderId="0" xfId="4" applyNumberFormat="1" applyFont="1" applyFill="1" applyAlignment="1">
      <alignment horizontal="right" vertical="center"/>
    </xf>
    <xf numFmtId="171" fontId="6" fillId="5" borderId="0" xfId="4" applyNumberFormat="1" applyFont="1" applyFill="1" applyAlignment="1">
      <alignment horizontal="left" vertical="center"/>
    </xf>
    <xf numFmtId="171" fontId="6" fillId="2" borderId="0" xfId="4" applyNumberFormat="1" applyFont="1" applyFill="1" applyAlignment="1">
      <alignment horizontal="left" vertical="center"/>
    </xf>
    <xf numFmtId="0" fontId="71" fillId="2" borderId="0" xfId="0" applyFont="1" applyFill="1" applyAlignment="1">
      <alignment horizontal="left" vertical="center"/>
    </xf>
    <xf numFmtId="172" fontId="3" fillId="2" borderId="0" xfId="4" applyNumberFormat="1" applyFont="1" applyFill="1" applyAlignment="1">
      <alignment horizontal="right" vertical="center"/>
    </xf>
    <xf numFmtId="0" fontId="72" fillId="0" borderId="2" xfId="0" applyFont="1" applyBorder="1" applyAlignment="1">
      <alignment horizontal="right" vertical="center" indent="1"/>
    </xf>
    <xf numFmtId="169" fontId="71" fillId="0" borderId="0" xfId="0" applyNumberFormat="1" applyFont="1" applyAlignment="1">
      <alignment horizontal="left" vertical="center"/>
    </xf>
    <xf numFmtId="6" fontId="71" fillId="2" borderId="0" xfId="0" applyNumberFormat="1" applyFont="1" applyFill="1" applyAlignment="1">
      <alignment horizontal="right" vertical="center" indent="1"/>
    </xf>
    <xf numFmtId="169" fontId="71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indent="1"/>
    </xf>
    <xf numFmtId="0" fontId="13" fillId="0" borderId="0" xfId="1" applyFont="1" applyAlignment="1">
      <alignment horizontal="left" vertical="top" indent="1"/>
    </xf>
    <xf numFmtId="0" fontId="2" fillId="0" borderId="0" xfId="1" applyFont="1" applyAlignment="1">
      <alignment horizontal="left" vertical="top" indent="1"/>
    </xf>
    <xf numFmtId="0" fontId="14" fillId="0" borderId="2" xfId="0" applyFont="1" applyBorder="1" applyAlignment="1">
      <alignment horizontal="right" vertical="center"/>
    </xf>
    <xf numFmtId="166" fontId="37" fillId="6" borderId="4" xfId="4" applyNumberFormat="1" applyFont="1" applyFill="1" applyBorder="1" applyAlignment="1">
      <alignment horizontal="right" vertical="center"/>
    </xf>
    <xf numFmtId="166" fontId="37" fillId="7" borderId="0" xfId="4" applyNumberFormat="1" applyFont="1" applyFill="1" applyAlignment="1">
      <alignment horizontal="right" vertical="center"/>
    </xf>
    <xf numFmtId="166" fontId="37" fillId="6" borderId="0" xfId="4" applyNumberFormat="1" applyFont="1" applyFill="1" applyAlignment="1">
      <alignment horizontal="right" vertical="center"/>
    </xf>
    <xf numFmtId="0" fontId="37" fillId="6" borderId="2" xfId="0" applyFont="1" applyFill="1" applyBorder="1" applyAlignment="1">
      <alignment horizontal="right" vertical="center"/>
    </xf>
    <xf numFmtId="0" fontId="14" fillId="0" borderId="2" xfId="0" applyFont="1" applyBorder="1" applyAlignment="1">
      <alignment horizontal="center" vertical="center"/>
    </xf>
    <xf numFmtId="8" fontId="3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6" fontId="3" fillId="2" borderId="4" xfId="0" applyNumberFormat="1" applyFont="1" applyFill="1" applyBorder="1" applyAlignment="1">
      <alignment horizontal="center" vertical="center"/>
    </xf>
    <xf numFmtId="6" fontId="3" fillId="2" borderId="1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indent="1"/>
    </xf>
    <xf numFmtId="0" fontId="43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indent="1"/>
    </xf>
    <xf numFmtId="8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6" fontId="3" fillId="0" borderId="2" xfId="0" applyNumberFormat="1" applyFont="1" applyBorder="1" applyAlignment="1">
      <alignment horizontal="center" vertical="center"/>
    </xf>
    <xf numFmtId="6" fontId="3" fillId="0" borderId="14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top" indent="1"/>
    </xf>
    <xf numFmtId="0" fontId="6" fillId="0" borderId="0" xfId="0" applyFont="1" applyAlignment="1">
      <alignment horizontal="left" vertical="top"/>
    </xf>
    <xf numFmtId="0" fontId="14" fillId="0" borderId="2" xfId="0" applyFont="1" applyBorder="1" applyAlignment="1">
      <alignment horizontal="left" vertical="center"/>
    </xf>
  </cellXfs>
  <cellStyles count="5">
    <cellStyle name="Hyperlänk" xfId="1" builtinId="8"/>
    <cellStyle name="Normal" xfId="0" builtinId="0"/>
    <cellStyle name="Procent" xfId="2" builtinId="5"/>
    <cellStyle name="Tusental" xfId="3" builtinId="3"/>
    <cellStyle name="Valuta" xfId="4" builtinId="4"/>
  </cellStyles>
  <dxfs count="14"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strike val="0"/>
        <color theme="1"/>
      </font>
    </dxf>
    <dxf>
      <font>
        <b/>
        <i val="0"/>
        <strike val="0"/>
        <color theme="1"/>
      </font>
    </dxf>
    <dxf>
      <font>
        <b/>
        <i val="0"/>
        <strike val="0"/>
        <color theme="1"/>
      </font>
    </dxf>
    <dxf>
      <font>
        <b/>
        <i val="0"/>
        <strike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NOK - Safespring tjenester 2024'!A1"/><Relationship Id="rId2" Type="http://schemas.openxmlformats.org/officeDocument/2006/relationships/hyperlink" Target="mailto:info@safespring.com?subject=Compliant%20Kubernetes%20Prisf&#246;rslag" TargetMode="External"/><Relationship Id="rId1" Type="http://schemas.openxmlformats.org/officeDocument/2006/relationships/image" Target="../media/image1.png"/><Relationship Id="rId5" Type="http://schemas.openxmlformats.org/officeDocument/2006/relationships/hyperlink" Target="#'EUR - Safespring services 2024'!A1"/><Relationship Id="rId4" Type="http://schemas.openxmlformats.org/officeDocument/2006/relationships/hyperlink" Target="#'DKK - Safespring-tjenester 2024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SEK - Safesprings tj&#228;nster 2024'!A1"/><Relationship Id="rId2" Type="http://schemas.openxmlformats.org/officeDocument/2006/relationships/hyperlink" Target="mailto:info@safespring.com?subject=Compliant%20Kubernetes%20Tilbud" TargetMode="External"/><Relationship Id="rId1" Type="http://schemas.openxmlformats.org/officeDocument/2006/relationships/image" Target="../media/image1.png"/><Relationship Id="rId5" Type="http://schemas.openxmlformats.org/officeDocument/2006/relationships/hyperlink" Target="#'EUR - Safespring services 2024'!A1"/><Relationship Id="rId4" Type="http://schemas.openxmlformats.org/officeDocument/2006/relationships/hyperlink" Target="#'DKK - Safespring-tjenester 2024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SEK - Safesprings tj&#228;nster 2024'!A1"/><Relationship Id="rId2" Type="http://schemas.openxmlformats.org/officeDocument/2006/relationships/hyperlink" Target="mailto:info@safespring.com?subject=Compliant%20Kubernetes%20Quote" TargetMode="External"/><Relationship Id="rId1" Type="http://schemas.openxmlformats.org/officeDocument/2006/relationships/image" Target="../media/image1.png"/><Relationship Id="rId5" Type="http://schemas.openxmlformats.org/officeDocument/2006/relationships/hyperlink" Target="#'EUR - Safespring services 2024'!A1"/><Relationship Id="rId4" Type="http://schemas.openxmlformats.org/officeDocument/2006/relationships/hyperlink" Target="#'NOK - Safespring tjenester 2024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SEK - Safesprings tj&#228;nster 2024'!A1"/><Relationship Id="rId2" Type="http://schemas.openxmlformats.org/officeDocument/2006/relationships/hyperlink" Target="mailto:info@safespring.com?subject=Compliant%20Kubernetes%20Quote" TargetMode="External"/><Relationship Id="rId1" Type="http://schemas.openxmlformats.org/officeDocument/2006/relationships/image" Target="../media/image1.png"/><Relationship Id="rId5" Type="http://schemas.openxmlformats.org/officeDocument/2006/relationships/hyperlink" Target="#'DKK - Safespring-tjenester 2024'!A1"/><Relationship Id="rId4" Type="http://schemas.openxmlformats.org/officeDocument/2006/relationships/hyperlink" Target="#'NOK - Safespring tjenester 2024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132679</xdr:colOff>
      <xdr:row>3</xdr:row>
      <xdr:rowOff>48036</xdr:rowOff>
    </xdr:from>
    <xdr:to>
      <xdr:col>1</xdr:col>
      <xdr:colOff>1827528</xdr:colOff>
      <xdr:row>4</xdr:row>
      <xdr:rowOff>93717</xdr:rowOff>
    </xdr:to>
    <xdr:pic>
      <xdr:nvPicPr>
        <xdr:cNvPr id="4" name="Bildobjekt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34379" y="1000536"/>
          <a:ext cx="1694849" cy="363181"/>
        </a:xfrm>
        <a:prstGeom prst="rect">
          <a:avLst/>
        </a:prstGeom>
      </xdr:spPr>
    </xdr:pic>
    <xdr:clientData/>
  </xdr:twoCellAnchor>
  <xdr:twoCellAnchor>
    <xdr:from>
      <xdr:col>1</xdr:col>
      <xdr:colOff>63500</xdr:colOff>
      <xdr:row>129</xdr:row>
      <xdr:rowOff>0</xdr:rowOff>
    </xdr:from>
    <xdr:to>
      <xdr:col>1</xdr:col>
      <xdr:colOff>1892300</xdr:colOff>
      <xdr:row>130</xdr:row>
      <xdr:rowOff>177800</xdr:rowOff>
    </xdr:to>
    <xdr:sp macro="" textlink="">
      <xdr:nvSpPr>
        <xdr:cNvPr id="5" name="Rektangel med rundade hörn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965200" y="32067500"/>
          <a:ext cx="1828800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cs typeface="Hind SemiBold"/>
            </a:rPr>
            <a:t>BE OM OFFERT</a:t>
          </a: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4</xdr:col>
      <xdr:colOff>38100</xdr:colOff>
      <xdr:row>9</xdr:row>
      <xdr:rowOff>177800</xdr:rowOff>
    </xdr:to>
    <xdr:sp macro="" textlink="">
      <xdr:nvSpPr>
        <xdr:cNvPr id="6" name="Rektangel med rundade hörn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4381500" y="2540000"/>
          <a:ext cx="1170517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cs typeface="Hind SemiBold"/>
            </a:rPr>
            <a:t>SEK</a:t>
          </a:r>
          <a:endParaRPr/>
        </a:p>
      </xdr:txBody>
    </xdr:sp>
    <xdr:clientData/>
  </xdr:twoCellAnchor>
  <xdr:twoCellAnchor>
    <xdr:from>
      <xdr:col>4</xdr:col>
      <xdr:colOff>169333</xdr:colOff>
      <xdr:row>8</xdr:row>
      <xdr:rowOff>0</xdr:rowOff>
    </xdr:from>
    <xdr:to>
      <xdr:col>5</xdr:col>
      <xdr:colOff>207432</xdr:colOff>
      <xdr:row>9</xdr:row>
      <xdr:rowOff>177800</xdr:rowOff>
    </xdr:to>
    <xdr:sp macro="" textlink="">
      <xdr:nvSpPr>
        <xdr:cNvPr id="7" name="Rektangel med rundade hör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5683250" y="2540000"/>
          <a:ext cx="1170516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NOK</a:t>
          </a:r>
          <a:endParaRPr/>
        </a:p>
      </xdr:txBody>
    </xdr:sp>
    <xdr:clientData/>
  </xdr:twoCellAnchor>
  <xdr:twoCellAnchor>
    <xdr:from>
      <xdr:col>5</xdr:col>
      <xdr:colOff>338666</xdr:colOff>
      <xdr:row>8</xdr:row>
      <xdr:rowOff>0</xdr:rowOff>
    </xdr:from>
    <xdr:to>
      <xdr:col>6</xdr:col>
      <xdr:colOff>376766</xdr:colOff>
      <xdr:row>9</xdr:row>
      <xdr:rowOff>177800</xdr:rowOff>
    </xdr:to>
    <xdr:sp macro="" textlink="">
      <xdr:nvSpPr>
        <xdr:cNvPr id="8" name="Rektangel med rundade hörn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6984999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DKK</a:t>
          </a:r>
          <a:endParaRPr/>
        </a:p>
      </xdr:txBody>
    </xdr:sp>
    <xdr:clientData/>
  </xdr:twoCellAnchor>
  <xdr:twoCellAnchor>
    <xdr:from>
      <xdr:col>6</xdr:col>
      <xdr:colOff>508000</xdr:colOff>
      <xdr:row>8</xdr:row>
      <xdr:rowOff>0</xdr:rowOff>
    </xdr:from>
    <xdr:to>
      <xdr:col>7</xdr:col>
      <xdr:colOff>546100</xdr:colOff>
      <xdr:row>9</xdr:row>
      <xdr:rowOff>177800</xdr:rowOff>
    </xdr:to>
    <xdr:sp macro="" textlink="">
      <xdr:nvSpPr>
        <xdr:cNvPr id="9" name="Rektangel med rundade hörn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8286750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EUR</a:t>
          </a:r>
          <a:endParaRPr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132679</xdr:colOff>
      <xdr:row>3</xdr:row>
      <xdr:rowOff>48036</xdr:rowOff>
    </xdr:from>
    <xdr:to>
      <xdr:col>1</xdr:col>
      <xdr:colOff>1827528</xdr:colOff>
      <xdr:row>4</xdr:row>
      <xdr:rowOff>93717</xdr:rowOff>
    </xdr:to>
    <xdr:pic>
      <xdr:nvPicPr>
        <xdr:cNvPr id="4" name="Bildobjekt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34379" y="1000536"/>
          <a:ext cx="1694849" cy="363181"/>
        </a:xfrm>
        <a:prstGeom prst="rect">
          <a:avLst/>
        </a:prstGeom>
      </xdr:spPr>
    </xdr:pic>
    <xdr:clientData/>
  </xdr:twoCellAnchor>
  <xdr:twoCellAnchor>
    <xdr:from>
      <xdr:col>5</xdr:col>
      <xdr:colOff>914400</xdr:colOff>
      <xdr:row>128</xdr:row>
      <xdr:rowOff>139700</xdr:rowOff>
    </xdr:from>
    <xdr:to>
      <xdr:col>7</xdr:col>
      <xdr:colOff>482600</xdr:colOff>
      <xdr:row>130</xdr:row>
      <xdr:rowOff>0</xdr:rowOff>
    </xdr:to>
    <xdr:sp macro="" textlink="">
      <xdr:nvSpPr>
        <xdr:cNvPr id="5" name="Rektangel med rundade hörn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7556500" y="31889700"/>
          <a:ext cx="1828800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cs typeface="Hind SemiBold"/>
            </a:rPr>
            <a:t>TILBUD</a:t>
          </a:r>
          <a:endParaRPr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4</xdr:col>
      <xdr:colOff>38100</xdr:colOff>
      <xdr:row>9</xdr:row>
      <xdr:rowOff>177800</xdr:rowOff>
    </xdr:to>
    <xdr:sp macro="" textlink="">
      <xdr:nvSpPr>
        <xdr:cNvPr id="6" name="Rektangel med rundade hörn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 bwMode="auto">
        <a:xfrm>
          <a:off x="4381500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ea typeface="Arial"/>
              <a:cs typeface="Hind SemiBold"/>
            </a:rPr>
            <a:t>SEK</a:t>
          </a:r>
          <a:endParaRPr/>
        </a:p>
      </xdr:txBody>
    </xdr:sp>
    <xdr:clientData/>
  </xdr:twoCellAnchor>
  <xdr:twoCellAnchor>
    <xdr:from>
      <xdr:col>4</xdr:col>
      <xdr:colOff>171450</xdr:colOff>
      <xdr:row>8</xdr:row>
      <xdr:rowOff>0</xdr:rowOff>
    </xdr:from>
    <xdr:to>
      <xdr:col>5</xdr:col>
      <xdr:colOff>209550</xdr:colOff>
      <xdr:row>9</xdr:row>
      <xdr:rowOff>177800</xdr:rowOff>
    </xdr:to>
    <xdr:sp macro="" textlink="">
      <xdr:nvSpPr>
        <xdr:cNvPr id="7" name="Rektangel med rundade hör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 bwMode="auto">
        <a:xfrm>
          <a:off x="5685367" y="2540000"/>
          <a:ext cx="1170516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ea typeface="Arial"/>
              <a:cs typeface="Hind SemiBold"/>
            </a:rPr>
            <a:t>NOK</a:t>
          </a:r>
          <a:endParaRPr/>
        </a:p>
      </xdr:txBody>
    </xdr:sp>
    <xdr:clientData/>
  </xdr:twoCellAnchor>
  <xdr:twoCellAnchor>
    <xdr:from>
      <xdr:col>5</xdr:col>
      <xdr:colOff>342900</xdr:colOff>
      <xdr:row>8</xdr:row>
      <xdr:rowOff>0</xdr:rowOff>
    </xdr:from>
    <xdr:to>
      <xdr:col>6</xdr:col>
      <xdr:colOff>381000</xdr:colOff>
      <xdr:row>9</xdr:row>
      <xdr:rowOff>177800</xdr:rowOff>
    </xdr:to>
    <xdr:sp macro="" textlink="">
      <xdr:nvSpPr>
        <xdr:cNvPr id="8" name="Rektangel med rundade hörn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 bwMode="auto">
        <a:xfrm>
          <a:off x="6989233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DKK</a:t>
          </a:r>
          <a:endParaRPr/>
        </a:p>
      </xdr:txBody>
    </xdr:sp>
    <xdr:clientData/>
  </xdr:twoCellAnchor>
  <xdr:twoCellAnchor>
    <xdr:from>
      <xdr:col>6</xdr:col>
      <xdr:colOff>508000</xdr:colOff>
      <xdr:row>8</xdr:row>
      <xdr:rowOff>0</xdr:rowOff>
    </xdr:from>
    <xdr:to>
      <xdr:col>7</xdr:col>
      <xdr:colOff>546100</xdr:colOff>
      <xdr:row>9</xdr:row>
      <xdr:rowOff>177800</xdr:rowOff>
    </xdr:to>
    <xdr:sp macro="" textlink="">
      <xdr:nvSpPr>
        <xdr:cNvPr id="9" name="Rektangel med rundade hörn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 bwMode="auto">
        <a:xfrm>
          <a:off x="8286750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EUR</a:t>
          </a:r>
          <a:endParaRPr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132679</xdr:colOff>
      <xdr:row>3</xdr:row>
      <xdr:rowOff>48036</xdr:rowOff>
    </xdr:from>
    <xdr:to>
      <xdr:col>1</xdr:col>
      <xdr:colOff>1827528</xdr:colOff>
      <xdr:row>4</xdr:row>
      <xdr:rowOff>93717</xdr:rowOff>
    </xdr:to>
    <xdr:pic>
      <xdr:nvPicPr>
        <xdr:cNvPr id="4" name="Bildobjekt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34379" y="1000536"/>
          <a:ext cx="1694849" cy="363181"/>
        </a:xfrm>
        <a:prstGeom prst="rect">
          <a:avLst/>
        </a:prstGeom>
      </xdr:spPr>
    </xdr:pic>
    <xdr:clientData/>
  </xdr:twoCellAnchor>
  <xdr:twoCellAnchor>
    <xdr:from>
      <xdr:col>5</xdr:col>
      <xdr:colOff>609600</xdr:colOff>
      <xdr:row>128</xdr:row>
      <xdr:rowOff>177800</xdr:rowOff>
    </xdr:from>
    <xdr:to>
      <xdr:col>7</xdr:col>
      <xdr:colOff>177800</xdr:colOff>
      <xdr:row>130</xdr:row>
      <xdr:rowOff>38100</xdr:rowOff>
    </xdr:to>
    <xdr:sp macro="" textlink="">
      <xdr:nvSpPr>
        <xdr:cNvPr id="5" name="Rektangel med rundade hörn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 bwMode="auto">
        <a:xfrm>
          <a:off x="7251700" y="31927800"/>
          <a:ext cx="1828800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cs typeface="Hind SemiBold"/>
            </a:rPr>
            <a:t>ASK FOR QUOTE</a:t>
          </a: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4</xdr:col>
      <xdr:colOff>38100</xdr:colOff>
      <xdr:row>9</xdr:row>
      <xdr:rowOff>177800</xdr:rowOff>
    </xdr:to>
    <xdr:sp macro="" textlink="">
      <xdr:nvSpPr>
        <xdr:cNvPr id="6" name="Rektangel med rundade hörn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 bwMode="auto">
        <a:xfrm>
          <a:off x="4381500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ea typeface="Arial"/>
              <a:cs typeface="Hind SemiBold"/>
            </a:rPr>
            <a:t>SEK</a:t>
          </a:r>
          <a:endParaRPr/>
        </a:p>
      </xdr:txBody>
    </xdr:sp>
    <xdr:clientData/>
  </xdr:twoCellAnchor>
  <xdr:twoCellAnchor>
    <xdr:from>
      <xdr:col>4</xdr:col>
      <xdr:colOff>171450</xdr:colOff>
      <xdr:row>8</xdr:row>
      <xdr:rowOff>0</xdr:rowOff>
    </xdr:from>
    <xdr:to>
      <xdr:col>5</xdr:col>
      <xdr:colOff>209550</xdr:colOff>
      <xdr:row>9</xdr:row>
      <xdr:rowOff>177800</xdr:rowOff>
    </xdr:to>
    <xdr:sp macro="" textlink="">
      <xdr:nvSpPr>
        <xdr:cNvPr id="7" name="Rektangel med rundade hörn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/>
      </xdr:nvSpPr>
      <xdr:spPr bwMode="auto">
        <a:xfrm>
          <a:off x="5685367" y="2540000"/>
          <a:ext cx="1170516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ea typeface="Arial"/>
              <a:cs typeface="Hind SemiBold"/>
            </a:rPr>
            <a:t>NOK</a:t>
          </a:r>
          <a:endParaRPr/>
        </a:p>
      </xdr:txBody>
    </xdr:sp>
    <xdr:clientData/>
  </xdr:twoCellAnchor>
  <xdr:twoCellAnchor>
    <xdr:from>
      <xdr:col>5</xdr:col>
      <xdr:colOff>342900</xdr:colOff>
      <xdr:row>8</xdr:row>
      <xdr:rowOff>0</xdr:rowOff>
    </xdr:from>
    <xdr:to>
      <xdr:col>6</xdr:col>
      <xdr:colOff>381000</xdr:colOff>
      <xdr:row>9</xdr:row>
      <xdr:rowOff>177800</xdr:rowOff>
    </xdr:to>
    <xdr:sp macro="" textlink="">
      <xdr:nvSpPr>
        <xdr:cNvPr id="8" name="Rektangel med rundade hörn 12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/>
      </xdr:nvSpPr>
      <xdr:spPr bwMode="auto">
        <a:xfrm>
          <a:off x="6989233" y="2540000"/>
          <a:ext cx="1170517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ea typeface="Arial"/>
              <a:cs typeface="Hind SemiBold"/>
            </a:rPr>
            <a:t>DKK</a:t>
          </a:r>
          <a:endParaRPr/>
        </a:p>
      </xdr:txBody>
    </xdr:sp>
    <xdr:clientData/>
  </xdr:twoCellAnchor>
  <xdr:twoCellAnchor>
    <xdr:from>
      <xdr:col>6</xdr:col>
      <xdr:colOff>508000</xdr:colOff>
      <xdr:row>8</xdr:row>
      <xdr:rowOff>0</xdr:rowOff>
    </xdr:from>
    <xdr:to>
      <xdr:col>7</xdr:col>
      <xdr:colOff>546100</xdr:colOff>
      <xdr:row>9</xdr:row>
      <xdr:rowOff>177800</xdr:rowOff>
    </xdr:to>
    <xdr:sp macro="" textlink="">
      <xdr:nvSpPr>
        <xdr:cNvPr id="9" name="Rektangel med rundade hörn 1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 bwMode="auto">
        <a:xfrm>
          <a:off x="8286750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EUR</a:t>
          </a:r>
          <a:endParaRPr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132679</xdr:colOff>
      <xdr:row>3</xdr:row>
      <xdr:rowOff>48036</xdr:rowOff>
    </xdr:from>
    <xdr:to>
      <xdr:col>1</xdr:col>
      <xdr:colOff>1827528</xdr:colOff>
      <xdr:row>4</xdr:row>
      <xdr:rowOff>93717</xdr:rowOff>
    </xdr:to>
    <xdr:pic>
      <xdr:nvPicPr>
        <xdr:cNvPr id="4" name="Bildobjekt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34379" y="1000536"/>
          <a:ext cx="1694849" cy="363181"/>
        </a:xfrm>
        <a:prstGeom prst="rect">
          <a:avLst/>
        </a:prstGeom>
      </xdr:spPr>
    </xdr:pic>
    <xdr:clientData/>
  </xdr:twoCellAnchor>
  <xdr:twoCellAnchor>
    <xdr:from>
      <xdr:col>5</xdr:col>
      <xdr:colOff>609600</xdr:colOff>
      <xdr:row>128</xdr:row>
      <xdr:rowOff>177800</xdr:rowOff>
    </xdr:from>
    <xdr:to>
      <xdr:col>7</xdr:col>
      <xdr:colOff>177800</xdr:colOff>
      <xdr:row>130</xdr:row>
      <xdr:rowOff>38100</xdr:rowOff>
    </xdr:to>
    <xdr:sp macro="" textlink="">
      <xdr:nvSpPr>
        <xdr:cNvPr id="5" name="Rektangel med rundade hörn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 bwMode="auto">
        <a:xfrm>
          <a:off x="7251700" y="31115000"/>
          <a:ext cx="1828800" cy="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cs typeface="Hind SemiBold"/>
            </a:rPr>
            <a:t>ASK FOR QUOTE</a:t>
          </a:r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4</xdr:col>
      <xdr:colOff>38100</xdr:colOff>
      <xdr:row>9</xdr:row>
      <xdr:rowOff>177800</xdr:rowOff>
    </xdr:to>
    <xdr:sp macro="" textlink="">
      <xdr:nvSpPr>
        <xdr:cNvPr id="6" name="Rektangel med rundade hörn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 bwMode="auto">
        <a:xfrm>
          <a:off x="4381500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ea typeface="Arial"/>
              <a:cs typeface="Hind SemiBold"/>
            </a:rPr>
            <a:t>SEK</a:t>
          </a:r>
          <a:endParaRPr/>
        </a:p>
      </xdr:txBody>
    </xdr:sp>
    <xdr:clientData/>
  </xdr:twoCellAnchor>
  <xdr:twoCellAnchor>
    <xdr:from>
      <xdr:col>4</xdr:col>
      <xdr:colOff>171450</xdr:colOff>
      <xdr:row>8</xdr:row>
      <xdr:rowOff>0</xdr:rowOff>
    </xdr:from>
    <xdr:to>
      <xdr:col>5</xdr:col>
      <xdr:colOff>209550</xdr:colOff>
      <xdr:row>9</xdr:row>
      <xdr:rowOff>177800</xdr:rowOff>
    </xdr:to>
    <xdr:sp macro="" textlink="">
      <xdr:nvSpPr>
        <xdr:cNvPr id="7" name="Rektangel med rundade hörn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 bwMode="auto">
        <a:xfrm>
          <a:off x="5685367" y="2540000"/>
          <a:ext cx="1170516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NOK</a:t>
          </a:r>
          <a:endParaRPr/>
        </a:p>
      </xdr:txBody>
    </xdr:sp>
    <xdr:clientData/>
  </xdr:twoCellAnchor>
  <xdr:twoCellAnchor>
    <xdr:from>
      <xdr:col>5</xdr:col>
      <xdr:colOff>342900</xdr:colOff>
      <xdr:row>8</xdr:row>
      <xdr:rowOff>0</xdr:rowOff>
    </xdr:from>
    <xdr:to>
      <xdr:col>6</xdr:col>
      <xdr:colOff>381000</xdr:colOff>
      <xdr:row>9</xdr:row>
      <xdr:rowOff>177800</xdr:rowOff>
    </xdr:to>
    <xdr:sp macro="" textlink="">
      <xdr:nvSpPr>
        <xdr:cNvPr id="8" name="Rektangel med rundade hörn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 bwMode="auto">
        <a:xfrm>
          <a:off x="6989233" y="2540000"/>
          <a:ext cx="1170517" cy="495300"/>
        </a:xfrm>
        <a:prstGeom prst="roundRect">
          <a:avLst>
            <a:gd name="adj" fmla="val 50000"/>
          </a:avLst>
        </a:prstGeom>
        <a:solidFill>
          <a:srgbClr val="EBF1F5"/>
        </a:solidFill>
        <a:ln>
          <a:solidFill>
            <a:schemeClr val="tx1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defRPr/>
          </a:pPr>
          <a:r>
            <a:rPr lang="sv-SE" sz="1400" b="1" i="0">
              <a:solidFill>
                <a:schemeClr val="accent5"/>
              </a:solidFill>
              <a:latin typeface="Hind SemiBold"/>
              <a:cs typeface="Hind SemiBold"/>
            </a:rPr>
            <a:t>DKK</a:t>
          </a:r>
          <a:endParaRPr/>
        </a:p>
      </xdr:txBody>
    </xdr:sp>
    <xdr:clientData/>
  </xdr:twoCellAnchor>
  <xdr:twoCellAnchor>
    <xdr:from>
      <xdr:col>6</xdr:col>
      <xdr:colOff>508000</xdr:colOff>
      <xdr:row>8</xdr:row>
      <xdr:rowOff>0</xdr:rowOff>
    </xdr:from>
    <xdr:to>
      <xdr:col>7</xdr:col>
      <xdr:colOff>546100</xdr:colOff>
      <xdr:row>9</xdr:row>
      <xdr:rowOff>177800</xdr:rowOff>
    </xdr:to>
    <xdr:sp macro="" textlink="">
      <xdr:nvSpPr>
        <xdr:cNvPr id="9" name="Rektangel med rundade hörn 9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 bwMode="auto">
        <a:xfrm>
          <a:off x="8286750" y="2540000"/>
          <a:ext cx="1170517" cy="495300"/>
        </a:xfrm>
        <a:prstGeom prst="roundRect">
          <a:avLst>
            <a:gd name="adj" fmla="val 50000"/>
          </a:avLst>
        </a:prstGeom>
        <a:solidFill>
          <a:schemeClr val="accent3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>
            <a:defRPr/>
          </a:pPr>
          <a:r>
            <a:rPr lang="sv-SE" sz="1400" b="1" i="0">
              <a:solidFill>
                <a:srgbClr val="FFFFFF"/>
              </a:solidFill>
              <a:latin typeface="Hind SemiBold"/>
              <a:ea typeface="Arial"/>
              <a:cs typeface="Hind SemiBold"/>
            </a:rPr>
            <a:t>EUR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Safespring 1">
      <a:dk1>
        <a:srgbClr val="414141"/>
      </a:dk1>
      <a:lt1>
        <a:srgbClr val="FAFEFE"/>
      </a:lt1>
      <a:dk2>
        <a:srgbClr val="414141"/>
      </a:dk2>
      <a:lt2>
        <a:srgbClr val="FAFEFE"/>
      </a:lt2>
      <a:accent1>
        <a:srgbClr val="3B9BCC"/>
      </a:accent1>
      <a:accent2>
        <a:srgbClr val="FD7E0D"/>
      </a:accent2>
      <a:accent3>
        <a:srgbClr val="FD7E0D"/>
      </a:accent3>
      <a:accent4>
        <a:srgbClr val="00EE77"/>
      </a:accent4>
      <a:accent5>
        <a:srgbClr val="1C739D"/>
      </a:accent5>
      <a:accent6>
        <a:srgbClr val="35D140"/>
      </a:accent6>
      <a:hlink>
        <a:srgbClr val="FD7E0D"/>
      </a:hlink>
      <a:folHlink>
        <a:srgbClr val="FD7E0D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hello@safespring.com" TargetMode="External"/><Relationship Id="rId2" Type="http://schemas.openxmlformats.org/officeDocument/2006/relationships/hyperlink" Target="mailto:hello@safespring.com" TargetMode="External"/><Relationship Id="rId1" Type="http://schemas.openxmlformats.org/officeDocument/2006/relationships/hyperlink" Target="mailto:sales@safespring.se?subject=Priskalkylatorn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hello@safespring.com" TargetMode="External"/><Relationship Id="rId2" Type="http://schemas.openxmlformats.org/officeDocument/2006/relationships/hyperlink" Target="mailto:hello@safespring.com" TargetMode="External"/><Relationship Id="rId1" Type="http://schemas.openxmlformats.org/officeDocument/2006/relationships/hyperlink" Target="mailto:sales@safespring.se?subject=Priskalkylatorn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hello@safespring.com" TargetMode="External"/><Relationship Id="rId2" Type="http://schemas.openxmlformats.org/officeDocument/2006/relationships/hyperlink" Target="mailto:hello@safespring.com" TargetMode="External"/><Relationship Id="rId1" Type="http://schemas.openxmlformats.org/officeDocument/2006/relationships/hyperlink" Target="mailto:sales@safespring.se?subject=Priskalkylatorn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hello@safespring.com" TargetMode="External"/><Relationship Id="rId2" Type="http://schemas.openxmlformats.org/officeDocument/2006/relationships/hyperlink" Target="mailto:hello@safespring.com" TargetMode="External"/><Relationship Id="rId1" Type="http://schemas.openxmlformats.org/officeDocument/2006/relationships/hyperlink" Target="mailto:sales@safespring.se?subject=Priskalkylatorn" TargetMode="Externa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14"/>
  <sheetViews>
    <sheetView showGridLines="0" tabSelected="1" zoomScale="120" workbookViewId="0"/>
  </sheetViews>
  <sheetFormatPr baseColWidth="10" defaultColWidth="15" defaultRowHeight="25" customHeight="1"/>
  <cols>
    <col min="1" max="1" width="11.83203125" style="1" bestFit="1" customWidth="1"/>
    <col min="2" max="2" width="30.83203125" style="2" bestFit="1" customWidth="1"/>
    <col min="3" max="10" width="14.83203125" style="1" bestFit="1" customWidth="1"/>
    <col min="11" max="11" width="14.83203125" style="3" bestFit="1" customWidth="1"/>
    <col min="12" max="12" width="14.83203125" style="1" bestFit="1" customWidth="1"/>
    <col min="13" max="13" width="14.83203125" style="4" bestFit="1" customWidth="1"/>
    <col min="14" max="14" width="14.83203125" style="1" bestFit="1" customWidth="1"/>
    <col min="15" max="15" width="15" style="1" bestFit="1"/>
    <col min="16" max="16" width="15" style="1" bestFit="1" customWidth="1"/>
    <col min="17" max="17" width="15" style="1" bestFit="1"/>
    <col min="18" max="16384" width="15" style="1"/>
  </cols>
  <sheetData>
    <row r="1" spans="1:26" ht="25" customHeight="1">
      <c r="A1" s="5"/>
      <c r="B1" s="6"/>
      <c r="C1" s="7"/>
      <c r="D1" s="5"/>
      <c r="E1" s="5"/>
      <c r="F1" s="5"/>
      <c r="G1" s="5"/>
      <c r="H1" s="5"/>
      <c r="I1" s="5"/>
      <c r="J1" s="5"/>
      <c r="K1" s="8"/>
      <c r="L1" s="9"/>
      <c r="M1" s="10"/>
    </row>
    <row r="2" spans="1:26" ht="25" customHeight="1">
      <c r="A2" s="5"/>
      <c r="B2" s="6"/>
      <c r="C2" s="7"/>
      <c r="D2" s="5"/>
      <c r="E2" s="5"/>
      <c r="F2" s="5"/>
      <c r="G2" s="5"/>
      <c r="H2" s="5"/>
      <c r="I2" s="5"/>
      <c r="J2" s="5"/>
      <c r="K2" s="8"/>
      <c r="L2" s="9"/>
      <c r="M2" s="10"/>
    </row>
    <row r="3" spans="1:26" ht="25" customHeight="1">
      <c r="A3" s="5"/>
      <c r="B3" s="6"/>
      <c r="C3" s="7"/>
      <c r="D3" s="5"/>
      <c r="E3" s="5"/>
      <c r="F3" s="5"/>
      <c r="G3" s="5"/>
      <c r="H3" s="5"/>
      <c r="I3" s="5"/>
      <c r="J3" s="5"/>
      <c r="K3" s="8"/>
      <c r="L3" s="9"/>
      <c r="M3" s="10"/>
    </row>
    <row r="4" spans="1:26" ht="25" customHeight="1">
      <c r="A4" s="5"/>
      <c r="B4" s="533"/>
      <c r="C4" s="533"/>
      <c r="D4" s="5"/>
      <c r="E4" s="5"/>
      <c r="F4" s="5"/>
      <c r="G4" s="5"/>
      <c r="H4" s="5"/>
      <c r="I4" s="5"/>
      <c r="J4" s="5"/>
      <c r="K4" s="8"/>
      <c r="L4" s="9"/>
      <c r="M4" s="10"/>
    </row>
    <row r="5" spans="1:26" ht="25" customHeight="1">
      <c r="A5" s="5"/>
      <c r="B5" s="11" t="s">
        <v>0</v>
      </c>
      <c r="C5" s="12"/>
      <c r="D5" s="5"/>
      <c r="E5" s="5"/>
      <c r="F5" s="5"/>
      <c r="G5" s="5"/>
      <c r="H5" s="5"/>
      <c r="I5" s="5"/>
      <c r="J5" s="5"/>
      <c r="K5" s="8"/>
      <c r="L5" s="9"/>
      <c r="M5" s="10"/>
    </row>
    <row r="6" spans="1:26" ht="25" customHeight="1">
      <c r="A6" s="5"/>
      <c r="B6" s="13"/>
      <c r="C6" s="7"/>
      <c r="D6" s="5"/>
      <c r="E6" s="5"/>
      <c r="F6" s="5"/>
      <c r="G6" s="5"/>
      <c r="H6" s="5"/>
      <c r="I6" s="5"/>
      <c r="J6" s="5"/>
      <c r="K6" s="8"/>
      <c r="L6" s="9"/>
      <c r="M6" s="10"/>
    </row>
    <row r="7" spans="1:26" ht="25" customHeight="1">
      <c r="A7" s="5"/>
      <c r="B7" s="14"/>
      <c r="C7" s="7"/>
      <c r="D7" s="5"/>
      <c r="E7" s="5"/>
      <c r="F7" s="5"/>
      <c r="G7" s="5"/>
      <c r="H7" s="5"/>
      <c r="I7" s="5"/>
      <c r="J7" s="5"/>
      <c r="K7" s="8"/>
      <c r="L7" s="9"/>
      <c r="M7" s="10"/>
    </row>
    <row r="8" spans="1:26" ht="25" customHeight="1">
      <c r="A8" s="5"/>
      <c r="B8" s="15" t="s">
        <v>1</v>
      </c>
      <c r="C8" s="7"/>
      <c r="D8" s="16" t="s">
        <v>2</v>
      </c>
      <c r="E8" s="5"/>
      <c r="F8" s="5"/>
      <c r="G8" s="5"/>
      <c r="H8" s="5"/>
      <c r="I8" s="5"/>
      <c r="J8" s="5"/>
      <c r="K8" s="8"/>
      <c r="L8" s="9"/>
      <c r="M8" s="10"/>
    </row>
    <row r="9" spans="1:26" ht="25" customHeight="1">
      <c r="A9" s="5"/>
      <c r="B9" s="17" t="s">
        <v>3</v>
      </c>
      <c r="C9" s="7"/>
      <c r="D9" s="5"/>
      <c r="E9" s="5"/>
      <c r="F9" s="5"/>
      <c r="G9" s="5"/>
      <c r="H9" s="5"/>
      <c r="I9" s="5"/>
      <c r="J9" s="5"/>
      <c r="K9" s="8"/>
      <c r="L9" s="9"/>
      <c r="M9" s="10"/>
    </row>
    <row r="10" spans="1:26" ht="25" customHeight="1">
      <c r="A10" s="5"/>
      <c r="B10" s="18" t="s">
        <v>4</v>
      </c>
      <c r="C10" s="19"/>
      <c r="D10" s="5"/>
      <c r="E10" s="5"/>
      <c r="F10" s="5"/>
      <c r="G10" s="5"/>
      <c r="H10" s="5"/>
      <c r="I10" s="5"/>
      <c r="J10" s="5"/>
      <c r="K10" s="8"/>
      <c r="L10" s="9"/>
      <c r="M10" s="10"/>
    </row>
    <row r="11" spans="1:26" s="20" customFormat="1" ht="25" customHeight="1">
      <c r="A11" s="21"/>
      <c r="B11" s="22"/>
      <c r="C11" s="23"/>
      <c r="D11" s="21"/>
      <c r="E11" s="21"/>
      <c r="F11" s="21"/>
      <c r="G11" s="24"/>
      <c r="H11" s="24"/>
      <c r="I11" s="25"/>
      <c r="J11" s="21"/>
      <c r="K11" s="26"/>
      <c r="L11" s="27"/>
      <c r="M11" s="10"/>
    </row>
    <row r="12" spans="1:26" s="20" customFormat="1" ht="25" customHeight="1">
      <c r="A12" s="28"/>
      <c r="B12" s="29"/>
      <c r="C12" s="30"/>
      <c r="D12" s="28"/>
      <c r="E12" s="28"/>
      <c r="F12" s="28"/>
      <c r="G12" s="31"/>
      <c r="H12" s="31"/>
      <c r="I12" s="32"/>
      <c r="J12" s="28"/>
      <c r="K12" s="33"/>
      <c r="L12" s="34"/>
      <c r="M12" s="10"/>
    </row>
    <row r="13" spans="1:26" s="20" customFormat="1" ht="25" customHeight="1">
      <c r="B13" s="35"/>
      <c r="G13" s="36"/>
      <c r="H13" s="36"/>
      <c r="I13" s="37"/>
      <c r="K13" s="38"/>
      <c r="L13" s="39"/>
      <c r="M13" s="10"/>
    </row>
    <row r="14" spans="1:26" s="20" customFormat="1" ht="25" customHeight="1">
      <c r="B14" s="35"/>
      <c r="G14" s="36"/>
      <c r="H14" s="36"/>
      <c r="I14" s="37"/>
      <c r="K14" s="38"/>
      <c r="L14" s="39"/>
      <c r="M14" s="10"/>
    </row>
    <row r="15" spans="1:26" s="20" customFormat="1" ht="25" customHeight="1">
      <c r="B15" s="534" t="s">
        <v>5</v>
      </c>
      <c r="C15" s="534"/>
      <c r="D15" s="534"/>
      <c r="E15" s="534"/>
      <c r="F15" s="534"/>
      <c r="G15" s="534"/>
      <c r="H15" s="37"/>
      <c r="J15" s="40"/>
      <c r="K15" s="38"/>
      <c r="L15" s="39"/>
      <c r="M15" s="10"/>
      <c r="S15" s="41"/>
      <c r="X15" s="41"/>
      <c r="Y15" s="41"/>
      <c r="Z15" s="41"/>
    </row>
    <row r="16" spans="1:26" s="20" customFormat="1" ht="25" customHeight="1">
      <c r="B16" s="534"/>
      <c r="C16" s="534"/>
      <c r="D16" s="534"/>
      <c r="E16" s="534"/>
      <c r="F16" s="534"/>
      <c r="G16" s="534"/>
      <c r="H16" s="37"/>
      <c r="J16" s="40"/>
      <c r="K16" s="38"/>
      <c r="L16" s="39"/>
      <c r="M16" s="10"/>
      <c r="S16" s="41"/>
      <c r="X16" s="41"/>
      <c r="Y16" s="41"/>
      <c r="Z16" s="41"/>
    </row>
    <row r="17" spans="2:26" s="20" customFormat="1" ht="25" customHeight="1">
      <c r="B17" s="534"/>
      <c r="C17" s="534"/>
      <c r="D17" s="534"/>
      <c r="E17" s="534"/>
      <c r="F17" s="534"/>
      <c r="G17" s="534"/>
      <c r="H17" s="37"/>
      <c r="J17" s="40"/>
      <c r="K17" s="38"/>
      <c r="L17" s="39"/>
      <c r="M17" s="10"/>
      <c r="S17" s="41"/>
      <c r="X17" s="41"/>
      <c r="Y17" s="41"/>
      <c r="Z17" s="41"/>
    </row>
    <row r="18" spans="2:26" s="20" customFormat="1" ht="25" customHeight="1">
      <c r="B18" s="42" t="s">
        <v>6</v>
      </c>
      <c r="C18" s="43"/>
      <c r="D18" s="43"/>
      <c r="E18" s="43"/>
      <c r="F18" s="43"/>
      <c r="H18" s="37"/>
      <c r="J18" s="40"/>
      <c r="K18" s="38"/>
      <c r="L18" s="39"/>
      <c r="M18" s="10"/>
      <c r="S18" s="41"/>
      <c r="T18" s="41"/>
      <c r="U18" s="41"/>
      <c r="V18" s="41"/>
      <c r="W18" s="41"/>
      <c r="X18" s="41"/>
      <c r="Y18" s="41"/>
      <c r="Z18" s="41"/>
    </row>
    <row r="19" spans="2:26" s="20" customFormat="1" ht="25" customHeight="1">
      <c r="B19" s="535" t="s">
        <v>7</v>
      </c>
      <c r="C19" s="535"/>
      <c r="D19" s="535"/>
      <c r="E19" s="535"/>
      <c r="F19" s="535"/>
      <c r="G19" s="45"/>
      <c r="H19" s="46"/>
      <c r="J19" s="47"/>
      <c r="K19" s="48"/>
      <c r="L19" s="49"/>
      <c r="M19" s="10"/>
      <c r="S19" s="41"/>
      <c r="T19" s="41"/>
      <c r="U19" s="41"/>
      <c r="V19" s="41"/>
      <c r="W19" s="41"/>
      <c r="X19" s="41"/>
      <c r="Y19" s="41"/>
      <c r="Z19" s="41"/>
    </row>
    <row r="20" spans="2:26" s="20" customFormat="1" ht="25" customHeight="1">
      <c r="B20" s="50" t="s">
        <v>8</v>
      </c>
      <c r="C20" s="51"/>
      <c r="D20" s="51"/>
      <c r="E20" s="52"/>
      <c r="F20" s="52"/>
      <c r="G20" s="45"/>
      <c r="H20" s="46"/>
      <c r="I20" s="45"/>
      <c r="J20" s="47"/>
      <c r="K20" s="48"/>
      <c r="L20" s="49"/>
      <c r="M20" s="10"/>
      <c r="S20" s="41"/>
      <c r="T20" s="41"/>
      <c r="U20" s="41"/>
      <c r="V20" s="41"/>
      <c r="W20" s="53"/>
      <c r="X20" s="54"/>
      <c r="Y20" s="41"/>
      <c r="Z20" s="41"/>
    </row>
    <row r="21" spans="2:26" s="20" customFormat="1" ht="25" customHeight="1">
      <c r="B21" s="44"/>
      <c r="C21" s="52"/>
      <c r="D21" s="52"/>
      <c r="E21" s="52"/>
      <c r="F21" s="52"/>
      <c r="G21" s="45"/>
      <c r="H21" s="46"/>
      <c r="I21" s="45"/>
      <c r="J21" s="47"/>
      <c r="K21" s="48"/>
      <c r="L21" s="49"/>
      <c r="M21" s="10"/>
      <c r="P21" s="1"/>
      <c r="Q21" s="1"/>
      <c r="R21" s="1"/>
      <c r="S21" s="41"/>
      <c r="T21" s="41"/>
      <c r="U21" s="41"/>
      <c r="V21" s="41"/>
      <c r="W21" s="41"/>
      <c r="X21" s="41"/>
      <c r="Y21" s="53"/>
      <c r="Z21" s="41"/>
    </row>
    <row r="22" spans="2:26" s="20" customFormat="1" ht="25" customHeight="1">
      <c r="B22" s="44"/>
      <c r="C22" s="52"/>
      <c r="D22" s="52"/>
      <c r="E22" s="52"/>
      <c r="F22" s="52"/>
      <c r="G22" s="45"/>
      <c r="H22" s="46"/>
      <c r="I22" s="45"/>
      <c r="J22" s="47"/>
      <c r="K22" s="48"/>
      <c r="L22" s="49"/>
      <c r="M22" s="10"/>
      <c r="P22" s="1"/>
      <c r="Q22" s="1"/>
      <c r="R22" s="1"/>
      <c r="S22" s="41"/>
      <c r="T22" s="41"/>
      <c r="U22" s="41"/>
      <c r="V22" s="41"/>
      <c r="W22" s="41"/>
      <c r="X22" s="41"/>
      <c r="Y22" s="53"/>
      <c r="Z22" s="41"/>
    </row>
    <row r="23" spans="2:26" s="55" customFormat="1" ht="25" customHeight="1">
      <c r="B23" s="56" t="s">
        <v>9</v>
      </c>
      <c r="C23" s="57"/>
      <c r="D23" s="57"/>
      <c r="E23" s="57"/>
      <c r="F23" s="57"/>
      <c r="G23" s="57"/>
      <c r="H23" s="58"/>
      <c r="I23" s="59"/>
      <c r="J23" s="59"/>
      <c r="K23" s="60"/>
      <c r="M23" s="10"/>
      <c r="P23" s="61"/>
      <c r="Q23" s="61"/>
      <c r="R23" s="62"/>
    </row>
    <row r="24" spans="2:26" ht="25" customHeight="1">
      <c r="B24" s="536" t="s">
        <v>10</v>
      </c>
      <c r="C24" s="536"/>
      <c r="D24" s="536"/>
      <c r="E24" s="536"/>
      <c r="M24" s="10"/>
    </row>
    <row r="25" spans="2:26" s="63" customFormat="1" ht="25" customHeight="1">
      <c r="B25" s="64" t="s">
        <v>11</v>
      </c>
      <c r="C25" s="65" t="s">
        <v>12</v>
      </c>
      <c r="D25" s="65" t="s">
        <v>13</v>
      </c>
      <c r="E25" s="66" t="s">
        <v>14</v>
      </c>
      <c r="F25" s="66" t="s">
        <v>15</v>
      </c>
      <c r="G25" s="66" t="s">
        <v>16</v>
      </c>
      <c r="H25" s="65"/>
      <c r="I25" s="67" t="s">
        <v>17</v>
      </c>
      <c r="J25" s="65"/>
      <c r="K25" s="68" t="s">
        <v>18</v>
      </c>
      <c r="M25" s="10"/>
      <c r="N25" s="1"/>
      <c r="O25" s="1"/>
      <c r="P25" s="53"/>
      <c r="Q25" s="53"/>
      <c r="R25" s="69"/>
    </row>
    <row r="26" spans="2:26" s="41" customFormat="1" ht="25" customHeight="1">
      <c r="B26" s="70" t="s">
        <v>19</v>
      </c>
      <c r="C26" s="71">
        <v>2</v>
      </c>
      <c r="D26" s="71">
        <v>4</v>
      </c>
      <c r="E26" s="72">
        <v>100</v>
      </c>
      <c r="F26" s="73">
        <f t="shared" ref="F26:F56" si="0">G26/720</f>
        <v>0.66666666666666663</v>
      </c>
      <c r="G26" s="74">
        <f t="shared" ref="G26:G39" si="1">C26*IAAS_vcpu_SEK+D26*IAAS_ram_SEK+E26*IAAS_nvme_SEK</f>
        <v>480</v>
      </c>
      <c r="H26" s="23"/>
      <c r="I26" s="75"/>
      <c r="J26" s="23"/>
      <c r="K26" s="76">
        <f t="shared" ref="K26:K39" si="2">ROUNDUP(I26*G26,2)</f>
        <v>0</v>
      </c>
      <c r="M26" s="10"/>
      <c r="N26" s="1"/>
      <c r="P26" s="53"/>
      <c r="R26" s="53"/>
    </row>
    <row r="27" spans="2:26" s="41" customFormat="1" ht="25" customHeight="1">
      <c r="B27" s="77" t="s">
        <v>20</v>
      </c>
      <c r="C27" s="78">
        <v>2</v>
      </c>
      <c r="D27" s="78">
        <v>4</v>
      </c>
      <c r="E27" s="79">
        <v>500</v>
      </c>
      <c r="F27" s="80">
        <f t="shared" si="0"/>
        <v>1.2222222222222223</v>
      </c>
      <c r="G27" s="81">
        <f t="shared" si="1"/>
        <v>880</v>
      </c>
      <c r="H27" s="82"/>
      <c r="I27" s="75"/>
      <c r="J27" s="82"/>
      <c r="K27" s="83">
        <f t="shared" si="2"/>
        <v>0</v>
      </c>
      <c r="M27" s="10"/>
      <c r="P27" s="53"/>
      <c r="R27" s="53"/>
    </row>
    <row r="28" spans="2:26" s="41" customFormat="1" ht="25" customHeight="1">
      <c r="B28" s="70" t="s">
        <v>21</v>
      </c>
      <c r="C28" s="71">
        <v>2</v>
      </c>
      <c r="D28" s="71">
        <v>4</v>
      </c>
      <c r="E28" s="72">
        <v>1000</v>
      </c>
      <c r="F28" s="73">
        <f t="shared" si="0"/>
        <v>1.9166666666666667</v>
      </c>
      <c r="G28" s="74">
        <f t="shared" si="1"/>
        <v>1380</v>
      </c>
      <c r="H28" s="23"/>
      <c r="I28" s="75"/>
      <c r="J28" s="23"/>
      <c r="K28" s="76">
        <f t="shared" si="2"/>
        <v>0</v>
      </c>
      <c r="M28" s="10"/>
      <c r="P28" s="53"/>
      <c r="R28" s="53"/>
    </row>
    <row r="29" spans="2:26" s="41" customFormat="1" ht="25" customHeight="1">
      <c r="B29" s="77" t="s">
        <v>22</v>
      </c>
      <c r="C29" s="78">
        <v>4</v>
      </c>
      <c r="D29" s="78">
        <v>8</v>
      </c>
      <c r="E29" s="79">
        <v>100</v>
      </c>
      <c r="F29" s="80">
        <f t="shared" si="0"/>
        <v>1.1944444444444444</v>
      </c>
      <c r="G29" s="81">
        <f t="shared" si="1"/>
        <v>860</v>
      </c>
      <c r="H29" s="82"/>
      <c r="I29" s="75"/>
      <c r="J29" s="82"/>
      <c r="K29" s="83">
        <f t="shared" si="2"/>
        <v>0</v>
      </c>
      <c r="M29" s="10"/>
      <c r="P29" s="53"/>
      <c r="R29" s="53"/>
    </row>
    <row r="30" spans="2:26" s="41" customFormat="1" ht="25" customHeight="1">
      <c r="B30" s="70" t="s">
        <v>23</v>
      </c>
      <c r="C30" s="71">
        <v>4</v>
      </c>
      <c r="D30" s="71">
        <v>8</v>
      </c>
      <c r="E30" s="72">
        <v>500</v>
      </c>
      <c r="F30" s="73">
        <f t="shared" si="0"/>
        <v>1.75</v>
      </c>
      <c r="G30" s="74">
        <f t="shared" si="1"/>
        <v>1260</v>
      </c>
      <c r="H30" s="23"/>
      <c r="I30" s="75"/>
      <c r="J30" s="23"/>
      <c r="K30" s="76">
        <f t="shared" si="2"/>
        <v>0</v>
      </c>
      <c r="M30" s="10"/>
      <c r="P30" s="53"/>
      <c r="R30" s="53"/>
    </row>
    <row r="31" spans="2:26" s="41" customFormat="1" ht="25" customHeight="1">
      <c r="B31" s="77" t="s">
        <v>24</v>
      </c>
      <c r="C31" s="78">
        <v>4</v>
      </c>
      <c r="D31" s="78">
        <v>8</v>
      </c>
      <c r="E31" s="79">
        <v>1000</v>
      </c>
      <c r="F31" s="80">
        <f t="shared" si="0"/>
        <v>2.4444444444444446</v>
      </c>
      <c r="G31" s="81">
        <f t="shared" si="1"/>
        <v>1760</v>
      </c>
      <c r="H31" s="82"/>
      <c r="I31" s="75"/>
      <c r="J31" s="82"/>
      <c r="K31" s="83">
        <f t="shared" si="2"/>
        <v>0</v>
      </c>
      <c r="M31" s="10"/>
      <c r="P31" s="53"/>
      <c r="R31" s="53"/>
    </row>
    <row r="32" spans="2:26" s="41" customFormat="1" ht="25" customHeight="1">
      <c r="B32" s="70" t="s">
        <v>25</v>
      </c>
      <c r="C32" s="71">
        <v>8</v>
      </c>
      <c r="D32" s="71">
        <v>16</v>
      </c>
      <c r="E32" s="72">
        <v>100</v>
      </c>
      <c r="F32" s="73">
        <f t="shared" si="0"/>
        <v>2.25</v>
      </c>
      <c r="G32" s="74">
        <f t="shared" si="1"/>
        <v>1620</v>
      </c>
      <c r="H32" s="23"/>
      <c r="I32" s="75"/>
      <c r="J32" s="23"/>
      <c r="K32" s="76">
        <f t="shared" si="2"/>
        <v>0</v>
      </c>
      <c r="M32" s="10"/>
      <c r="P32" s="53"/>
      <c r="R32" s="53"/>
    </row>
    <row r="33" spans="2:19" s="41" customFormat="1" ht="25" customHeight="1">
      <c r="B33" s="77" t="s">
        <v>26</v>
      </c>
      <c r="C33" s="78">
        <v>8</v>
      </c>
      <c r="D33" s="78">
        <v>16</v>
      </c>
      <c r="E33" s="79">
        <v>500</v>
      </c>
      <c r="F33" s="80">
        <f t="shared" si="0"/>
        <v>2.8055555555555554</v>
      </c>
      <c r="G33" s="81">
        <f t="shared" si="1"/>
        <v>2020</v>
      </c>
      <c r="H33" s="82"/>
      <c r="I33" s="75"/>
      <c r="J33" s="82"/>
      <c r="K33" s="83">
        <f t="shared" si="2"/>
        <v>0</v>
      </c>
      <c r="M33" s="10"/>
      <c r="P33" s="53"/>
      <c r="R33" s="53"/>
    </row>
    <row r="34" spans="2:19" s="41" customFormat="1" ht="25" customHeight="1">
      <c r="B34" s="70" t="s">
        <v>27</v>
      </c>
      <c r="C34" s="71">
        <v>8</v>
      </c>
      <c r="D34" s="71">
        <v>16</v>
      </c>
      <c r="E34" s="72">
        <v>1000</v>
      </c>
      <c r="F34" s="73">
        <f t="shared" si="0"/>
        <v>3.5</v>
      </c>
      <c r="G34" s="74">
        <f t="shared" si="1"/>
        <v>2520</v>
      </c>
      <c r="H34" s="23"/>
      <c r="I34" s="75"/>
      <c r="J34" s="23"/>
      <c r="K34" s="76">
        <f t="shared" si="2"/>
        <v>0</v>
      </c>
      <c r="M34" s="10"/>
      <c r="P34" s="53"/>
      <c r="R34" s="53"/>
    </row>
    <row r="35" spans="2:19" s="41" customFormat="1" ht="25" customHeight="1">
      <c r="B35" s="77" t="s">
        <v>28</v>
      </c>
      <c r="C35" s="78">
        <v>16</v>
      </c>
      <c r="D35" s="78">
        <v>32</v>
      </c>
      <c r="E35" s="79">
        <v>100</v>
      </c>
      <c r="F35" s="80">
        <f t="shared" si="0"/>
        <v>4.3611111111111107</v>
      </c>
      <c r="G35" s="81">
        <f t="shared" si="1"/>
        <v>3140</v>
      </c>
      <c r="H35" s="82"/>
      <c r="I35" s="75"/>
      <c r="J35" s="82"/>
      <c r="K35" s="83">
        <f t="shared" si="2"/>
        <v>0</v>
      </c>
      <c r="M35" s="10"/>
      <c r="P35" s="53"/>
      <c r="R35" s="53"/>
    </row>
    <row r="36" spans="2:19" s="41" customFormat="1" ht="25" customHeight="1">
      <c r="B36" s="70" t="s">
        <v>29</v>
      </c>
      <c r="C36" s="71">
        <v>16</v>
      </c>
      <c r="D36" s="71">
        <v>32</v>
      </c>
      <c r="E36" s="72">
        <v>500</v>
      </c>
      <c r="F36" s="73">
        <f t="shared" si="0"/>
        <v>4.916666666666667</v>
      </c>
      <c r="G36" s="74">
        <f t="shared" si="1"/>
        <v>3540</v>
      </c>
      <c r="H36" s="23"/>
      <c r="I36" s="75"/>
      <c r="J36" s="23"/>
      <c r="K36" s="76">
        <f t="shared" si="2"/>
        <v>0</v>
      </c>
      <c r="M36" s="10"/>
      <c r="P36" s="53"/>
      <c r="R36" s="53"/>
    </row>
    <row r="37" spans="2:19" s="41" customFormat="1" ht="25" customHeight="1">
      <c r="B37" s="77" t="s">
        <v>30</v>
      </c>
      <c r="C37" s="78">
        <v>16</v>
      </c>
      <c r="D37" s="78">
        <v>32</v>
      </c>
      <c r="E37" s="79">
        <v>1000</v>
      </c>
      <c r="F37" s="80">
        <f t="shared" si="0"/>
        <v>5.6111111111111107</v>
      </c>
      <c r="G37" s="81">
        <f t="shared" si="1"/>
        <v>4040</v>
      </c>
      <c r="H37" s="82"/>
      <c r="I37" s="75"/>
      <c r="J37" s="82"/>
      <c r="K37" s="83">
        <f t="shared" si="2"/>
        <v>0</v>
      </c>
      <c r="M37" s="10"/>
      <c r="P37" s="53"/>
      <c r="R37" s="53"/>
    </row>
    <row r="38" spans="2:19" s="41" customFormat="1" ht="25" customHeight="1">
      <c r="B38" s="70" t="s">
        <v>31</v>
      </c>
      <c r="C38" s="71">
        <v>16</v>
      </c>
      <c r="D38" s="71">
        <v>64</v>
      </c>
      <c r="E38" s="72">
        <v>500</v>
      </c>
      <c r="F38" s="73">
        <f t="shared" si="0"/>
        <v>7.3611111111111107</v>
      </c>
      <c r="G38" s="74">
        <f t="shared" si="1"/>
        <v>5300</v>
      </c>
      <c r="H38" s="23"/>
      <c r="I38" s="75"/>
      <c r="J38" s="23"/>
      <c r="K38" s="76">
        <f t="shared" si="2"/>
        <v>0</v>
      </c>
      <c r="M38" s="10"/>
      <c r="P38" s="53"/>
      <c r="R38" s="53"/>
    </row>
    <row r="39" spans="2:19" s="41" customFormat="1" ht="25" customHeight="1">
      <c r="B39" s="77" t="s">
        <v>32</v>
      </c>
      <c r="C39" s="78">
        <v>32</v>
      </c>
      <c r="D39" s="78">
        <v>64</v>
      </c>
      <c r="E39" s="79">
        <v>1000</v>
      </c>
      <c r="F39" s="80">
        <f t="shared" si="0"/>
        <v>9.8333333333333339</v>
      </c>
      <c r="G39" s="81">
        <f t="shared" si="1"/>
        <v>7080</v>
      </c>
      <c r="H39" s="82"/>
      <c r="I39" s="75"/>
      <c r="J39" s="82"/>
      <c r="K39" s="83">
        <f t="shared" si="2"/>
        <v>0</v>
      </c>
      <c r="M39" s="10"/>
      <c r="P39" s="53"/>
      <c r="R39" s="53"/>
    </row>
    <row r="40" spans="2:19" s="84" customFormat="1" ht="25" customHeight="1">
      <c r="B40" s="85" t="s">
        <v>33</v>
      </c>
      <c r="C40" s="86" t="str">
        <f t="array" ref="C40">SUM(C26:C39*I26:I39)&amp;" st"</f>
        <v>0 st</v>
      </c>
      <c r="D40" s="86" t="str">
        <f t="array" ref="D40">SUM(D26:D39*I26:I39)&amp;" GB"</f>
        <v>0 GB</v>
      </c>
      <c r="E40" s="87" t="str">
        <f t="array" ref="E40">SUM(E26:E39*I26:I39)&amp;" GB"</f>
        <v>0 GB</v>
      </c>
      <c r="F40" s="86"/>
      <c r="G40" s="86"/>
      <c r="H40" s="86"/>
      <c r="I40" s="86" t="str">
        <f>SUM(I26:I39)&amp;" st"</f>
        <v>0 st</v>
      </c>
      <c r="J40" s="86"/>
      <c r="K40" s="88">
        <f>SUM(K26:K39)</f>
        <v>0</v>
      </c>
      <c r="M40" s="10"/>
      <c r="P40" s="89"/>
      <c r="R40" s="89"/>
    </row>
    <row r="41" spans="2:19" s="41" customFormat="1" ht="25" customHeight="1">
      <c r="B41" s="90"/>
      <c r="C41" s="90"/>
      <c r="D41" s="90"/>
      <c r="E41" s="91"/>
      <c r="F41" s="92"/>
      <c r="G41" s="93"/>
      <c r="H41" s="94"/>
      <c r="I41" s="95"/>
      <c r="J41" s="96"/>
      <c r="K41" s="97"/>
      <c r="M41" s="10"/>
      <c r="P41" s="53"/>
      <c r="R41" s="53"/>
    </row>
    <row r="42" spans="2:19" s="41" customFormat="1" ht="25" customHeight="1">
      <c r="B42" s="90"/>
      <c r="C42" s="90"/>
      <c r="D42" s="90"/>
      <c r="E42" s="91"/>
      <c r="F42" s="92"/>
      <c r="G42" s="93"/>
      <c r="H42" s="94"/>
      <c r="I42" s="95"/>
      <c r="J42" s="96"/>
      <c r="K42" s="97"/>
      <c r="M42" s="10"/>
      <c r="P42" s="53"/>
      <c r="R42" s="53"/>
    </row>
    <row r="43" spans="2:19" ht="25" customHeight="1">
      <c r="B43" s="98"/>
      <c r="C43" s="99"/>
      <c r="D43" s="99"/>
      <c r="E43" s="99"/>
      <c r="F43" s="99"/>
      <c r="G43" s="100"/>
      <c r="H43" s="101"/>
      <c r="I43" s="101"/>
      <c r="J43" s="99"/>
      <c r="K43" s="102"/>
      <c r="M43" s="10"/>
      <c r="P43" s="53"/>
      <c r="Q43" s="53"/>
      <c r="R43" s="69"/>
    </row>
    <row r="44" spans="2:19" s="63" customFormat="1" ht="25" customHeight="1">
      <c r="B44" s="103" t="s">
        <v>34</v>
      </c>
      <c r="C44" s="104"/>
      <c r="D44" s="104"/>
      <c r="K44" s="105"/>
      <c r="M44" s="10"/>
    </row>
    <row r="45" spans="2:19" ht="25" customHeight="1">
      <c r="B45" s="536" t="s">
        <v>10</v>
      </c>
      <c r="C45" s="536"/>
      <c r="D45" s="536"/>
      <c r="E45" s="536"/>
      <c r="M45" s="10"/>
    </row>
    <row r="46" spans="2:19" s="106" customFormat="1" ht="25" customHeight="1">
      <c r="B46" s="64" t="s">
        <v>11</v>
      </c>
      <c r="C46" s="65" t="s">
        <v>12</v>
      </c>
      <c r="D46" s="65" t="s">
        <v>35</v>
      </c>
      <c r="E46" s="107" t="s">
        <v>36</v>
      </c>
      <c r="F46" s="108" t="s">
        <v>15</v>
      </c>
      <c r="G46" s="66" t="s">
        <v>16</v>
      </c>
      <c r="H46" s="109"/>
      <c r="I46" s="67" t="s">
        <v>17</v>
      </c>
      <c r="J46" s="65"/>
      <c r="K46" s="68" t="s">
        <v>18</v>
      </c>
      <c r="M46" s="10"/>
      <c r="O46" s="110"/>
      <c r="P46" s="111"/>
      <c r="Q46" s="111"/>
      <c r="R46" s="111"/>
      <c r="S46" s="110"/>
    </row>
    <row r="47" spans="2:19" s="41" customFormat="1" ht="25" customHeight="1">
      <c r="B47" s="70" t="s">
        <v>37</v>
      </c>
      <c r="C47" s="71">
        <v>1</v>
      </c>
      <c r="D47" s="71">
        <v>2</v>
      </c>
      <c r="E47" s="112">
        <v>0</v>
      </c>
      <c r="F47" s="73">
        <f t="shared" si="0"/>
        <v>0.2638888888888889</v>
      </c>
      <c r="G47" s="74">
        <f t="shared" ref="G47:G56" si="3">C47*IAAS_vcpu_SEK+D47*IAAS_ram_SEK+E47*IAAS_ssd_SEK</f>
        <v>190</v>
      </c>
      <c r="H47" s="23"/>
      <c r="I47" s="75"/>
      <c r="J47" s="23"/>
      <c r="K47" s="76">
        <f t="shared" ref="K47:K56" si="4">ROUNDUP(I47*G47,2)</f>
        <v>0</v>
      </c>
      <c r="M47" s="10"/>
      <c r="N47" s="113"/>
      <c r="O47" s="114"/>
    </row>
    <row r="48" spans="2:19" s="41" customFormat="1" ht="25" customHeight="1">
      <c r="B48" s="77" t="s">
        <v>38</v>
      </c>
      <c r="C48" s="78">
        <v>1</v>
      </c>
      <c r="D48" s="78">
        <v>4</v>
      </c>
      <c r="E48" s="115">
        <v>0</v>
      </c>
      <c r="F48" s="80">
        <f t="shared" si="0"/>
        <v>0.41666666666666669</v>
      </c>
      <c r="G48" s="81">
        <f t="shared" si="3"/>
        <v>300</v>
      </c>
      <c r="H48" s="82"/>
      <c r="I48" s="75"/>
      <c r="J48" s="82"/>
      <c r="K48" s="83">
        <f t="shared" si="4"/>
        <v>0</v>
      </c>
      <c r="L48" s="116"/>
      <c r="M48" s="10"/>
      <c r="N48" s="113"/>
      <c r="O48" s="114"/>
    </row>
    <row r="49" spans="1:20" s="41" customFormat="1" ht="25" customHeight="1">
      <c r="B49" s="70" t="s">
        <v>39</v>
      </c>
      <c r="C49" s="71">
        <v>2</v>
      </c>
      <c r="D49" s="71">
        <v>4</v>
      </c>
      <c r="E49" s="112">
        <v>0</v>
      </c>
      <c r="F49" s="73">
        <f t="shared" si="0"/>
        <v>0.52777777777777779</v>
      </c>
      <c r="G49" s="74">
        <f t="shared" si="3"/>
        <v>380</v>
      </c>
      <c r="H49" s="23"/>
      <c r="I49" s="75"/>
      <c r="J49" s="23"/>
      <c r="K49" s="76">
        <f t="shared" si="4"/>
        <v>0</v>
      </c>
      <c r="L49" s="116"/>
      <c r="M49" s="10"/>
      <c r="N49" s="113"/>
      <c r="O49" s="114"/>
    </row>
    <row r="50" spans="1:20" s="41" customFormat="1" ht="25" customHeight="1">
      <c r="B50" s="77" t="s">
        <v>40</v>
      </c>
      <c r="C50" s="78">
        <v>2</v>
      </c>
      <c r="D50" s="78">
        <v>8</v>
      </c>
      <c r="E50" s="115">
        <v>0</v>
      </c>
      <c r="F50" s="80">
        <f t="shared" si="0"/>
        <v>0.83333333333333337</v>
      </c>
      <c r="G50" s="81">
        <f t="shared" si="3"/>
        <v>600</v>
      </c>
      <c r="H50" s="82"/>
      <c r="I50" s="75"/>
      <c r="J50" s="82"/>
      <c r="K50" s="83">
        <f t="shared" si="4"/>
        <v>0</v>
      </c>
      <c r="L50" s="116"/>
      <c r="M50" s="10"/>
      <c r="N50" s="113"/>
      <c r="O50" s="117"/>
    </row>
    <row r="51" spans="1:20" s="41" customFormat="1" ht="25" customHeight="1">
      <c r="B51" s="70" t="s">
        <v>41</v>
      </c>
      <c r="C51" s="71">
        <v>4</v>
      </c>
      <c r="D51" s="71">
        <v>8</v>
      </c>
      <c r="E51" s="112">
        <v>0</v>
      </c>
      <c r="F51" s="73">
        <f t="shared" si="0"/>
        <v>1.0555555555555556</v>
      </c>
      <c r="G51" s="74">
        <f t="shared" si="3"/>
        <v>760</v>
      </c>
      <c r="H51" s="23"/>
      <c r="I51" s="75"/>
      <c r="J51" s="23"/>
      <c r="K51" s="76">
        <f t="shared" si="4"/>
        <v>0</v>
      </c>
      <c r="L51" s="116"/>
      <c r="M51" s="10"/>
      <c r="N51" s="113"/>
    </row>
    <row r="52" spans="1:20" s="41" customFormat="1" ht="25" customHeight="1">
      <c r="B52" s="77" t="s">
        <v>42</v>
      </c>
      <c r="C52" s="78">
        <v>4</v>
      </c>
      <c r="D52" s="78">
        <v>16</v>
      </c>
      <c r="E52" s="115">
        <v>0</v>
      </c>
      <c r="F52" s="80">
        <f t="shared" si="0"/>
        <v>1.6666666666666667</v>
      </c>
      <c r="G52" s="81">
        <f t="shared" si="3"/>
        <v>1200</v>
      </c>
      <c r="H52" s="82"/>
      <c r="I52" s="75"/>
      <c r="J52" s="82"/>
      <c r="K52" s="83">
        <f t="shared" si="4"/>
        <v>0</v>
      </c>
      <c r="L52" s="116"/>
      <c r="M52" s="10"/>
    </row>
    <row r="53" spans="1:20" s="41" customFormat="1" ht="25" customHeight="1">
      <c r="B53" s="70" t="s">
        <v>43</v>
      </c>
      <c r="C53" s="71">
        <v>8</v>
      </c>
      <c r="D53" s="71">
        <v>16</v>
      </c>
      <c r="E53" s="112">
        <v>0</v>
      </c>
      <c r="F53" s="73">
        <f t="shared" si="0"/>
        <v>2.1111111111111112</v>
      </c>
      <c r="G53" s="74">
        <f t="shared" si="3"/>
        <v>1520</v>
      </c>
      <c r="H53" s="23"/>
      <c r="I53" s="75"/>
      <c r="J53" s="23"/>
      <c r="K53" s="76">
        <f t="shared" si="4"/>
        <v>0</v>
      </c>
      <c r="L53" s="116"/>
      <c r="M53" s="10"/>
    </row>
    <row r="54" spans="1:20" s="41" customFormat="1" ht="25" customHeight="1">
      <c r="B54" s="77" t="s">
        <v>44</v>
      </c>
      <c r="C54" s="78">
        <v>8</v>
      </c>
      <c r="D54" s="78">
        <v>32</v>
      </c>
      <c r="E54" s="115">
        <v>0</v>
      </c>
      <c r="F54" s="80">
        <f t="shared" si="0"/>
        <v>3.3333333333333335</v>
      </c>
      <c r="G54" s="81">
        <f t="shared" si="3"/>
        <v>2400</v>
      </c>
      <c r="H54" s="82"/>
      <c r="I54" s="75"/>
      <c r="J54" s="82"/>
      <c r="K54" s="83">
        <f t="shared" si="4"/>
        <v>0</v>
      </c>
      <c r="L54" s="116"/>
      <c r="M54" s="10"/>
    </row>
    <row r="55" spans="1:20" s="41" customFormat="1" ht="25" customHeight="1">
      <c r="B55" s="70" t="s">
        <v>45</v>
      </c>
      <c r="C55" s="71">
        <v>16</v>
      </c>
      <c r="D55" s="71">
        <v>32</v>
      </c>
      <c r="E55" s="112">
        <v>0</v>
      </c>
      <c r="F55" s="73">
        <f t="shared" si="0"/>
        <v>4.2222222222222223</v>
      </c>
      <c r="G55" s="74">
        <f t="shared" si="3"/>
        <v>3040</v>
      </c>
      <c r="H55" s="23"/>
      <c r="I55" s="75"/>
      <c r="J55" s="23"/>
      <c r="K55" s="76">
        <f t="shared" si="4"/>
        <v>0</v>
      </c>
      <c r="L55" s="116"/>
      <c r="M55" s="10"/>
      <c r="P55" s="53"/>
      <c r="Q55" s="53"/>
      <c r="R55" s="53"/>
    </row>
    <row r="56" spans="1:20" s="41" customFormat="1" ht="25" customHeight="1">
      <c r="B56" s="77" t="s">
        <v>46</v>
      </c>
      <c r="C56" s="78">
        <v>16</v>
      </c>
      <c r="D56" s="78">
        <v>64</v>
      </c>
      <c r="E56" s="115">
        <v>0</v>
      </c>
      <c r="F56" s="80">
        <f t="shared" si="0"/>
        <v>6.666666666666667</v>
      </c>
      <c r="G56" s="81">
        <f t="shared" si="3"/>
        <v>4800</v>
      </c>
      <c r="H56" s="82"/>
      <c r="I56" s="75"/>
      <c r="J56" s="82"/>
      <c r="K56" s="83">
        <f t="shared" si="4"/>
        <v>0</v>
      </c>
      <c r="L56" s="116"/>
      <c r="M56" s="10"/>
      <c r="P56" s="53"/>
      <c r="Q56" s="53"/>
      <c r="R56" s="53"/>
    </row>
    <row r="57" spans="1:20" s="84" customFormat="1" ht="25" customHeight="1">
      <c r="A57" s="41"/>
      <c r="B57" s="85" t="s">
        <v>33</v>
      </c>
      <c r="C57" s="86" t="str">
        <f t="array" ref="C57">SUM(b2_list_vCPU*b2_list_Antal_instanser)&amp;" st"</f>
        <v>0 st</v>
      </c>
      <c r="D57" s="86" t="str">
        <f t="array" ref="D57">SUM(b2_list_ram*b2_list_vCPU)&amp;" GB"</f>
        <v>0 GB</v>
      </c>
      <c r="E57" s="118" t="s">
        <v>47</v>
      </c>
      <c r="F57" s="86"/>
      <c r="G57" s="86"/>
      <c r="H57" s="86"/>
      <c r="I57" s="86" t="str">
        <f>SUM(I47:I56)&amp;" st"</f>
        <v>0 st</v>
      </c>
      <c r="J57" s="86"/>
      <c r="K57" s="88">
        <f>SUM(K47:K56)</f>
        <v>0</v>
      </c>
      <c r="M57" s="10"/>
      <c r="N57" s="41"/>
      <c r="P57" s="89"/>
      <c r="R57" s="89"/>
    </row>
    <row r="58" spans="1:20" ht="25" customHeight="1">
      <c r="A58" s="41"/>
      <c r="B58" s="119"/>
      <c r="C58" s="120"/>
      <c r="D58" s="120"/>
      <c r="E58" s="120"/>
      <c r="F58" s="120"/>
      <c r="G58" s="93"/>
      <c r="H58" s="94"/>
      <c r="I58" s="121"/>
      <c r="J58" s="96"/>
      <c r="K58" s="97"/>
      <c r="M58" s="10"/>
      <c r="P58" s="53"/>
      <c r="Q58" s="53"/>
      <c r="R58" s="69"/>
    </row>
    <row r="59" spans="1:20" s="122" customFormat="1" ht="25" hidden="1" customHeight="1">
      <c r="B59" s="56" t="s">
        <v>48</v>
      </c>
      <c r="C59" s="58"/>
      <c r="D59" s="58"/>
      <c r="E59" s="58"/>
      <c r="F59" s="58"/>
      <c r="G59" s="58"/>
      <c r="H59" s="58"/>
      <c r="K59" s="123"/>
      <c r="L59" s="124"/>
      <c r="M59" s="10"/>
      <c r="R59" s="125"/>
      <c r="S59" s="125"/>
      <c r="T59" s="126"/>
    </row>
    <row r="60" spans="1:20" ht="25" hidden="1" customHeight="1">
      <c r="B60" s="537" t="s">
        <v>49</v>
      </c>
      <c r="C60" s="537"/>
      <c r="D60" s="537"/>
      <c r="E60" s="537"/>
      <c r="M60" s="10"/>
    </row>
    <row r="61" spans="1:20" s="127" customFormat="1" ht="25" hidden="1" customHeight="1">
      <c r="B61" s="64" t="s">
        <v>11</v>
      </c>
      <c r="C61" s="65" t="s">
        <v>50</v>
      </c>
      <c r="D61" s="65" t="s">
        <v>35</v>
      </c>
      <c r="E61" s="128" t="s">
        <v>51</v>
      </c>
      <c r="F61" s="108" t="s">
        <v>52</v>
      </c>
      <c r="G61" s="108" t="s">
        <v>15</v>
      </c>
      <c r="H61" s="66" t="s">
        <v>16</v>
      </c>
      <c r="I61" s="67" t="s">
        <v>17</v>
      </c>
      <c r="J61" s="65"/>
      <c r="K61" s="68" t="s">
        <v>18</v>
      </c>
      <c r="L61" s="129"/>
      <c r="M61" s="10"/>
      <c r="Q61" s="130"/>
      <c r="R61" s="130"/>
      <c r="S61" s="131"/>
    </row>
    <row r="62" spans="1:20" s="41" customFormat="1" ht="25" hidden="1" customHeight="1">
      <c r="B62" s="70" t="s">
        <v>53</v>
      </c>
      <c r="C62" s="71">
        <v>4</v>
      </c>
      <c r="D62" s="71">
        <v>16</v>
      </c>
      <c r="E62" s="72">
        <v>250</v>
      </c>
      <c r="F62" s="132">
        <v>1</v>
      </c>
      <c r="G62" s="133">
        <f t="shared" ref="G62:G65" si="5">H62/720</f>
        <v>9.6527777777777786</v>
      </c>
      <c r="H62" s="74">
        <f t="shared" ref="H62:H65" si="6">C62*IAAS_vcpu_SEK+D62*IAAS_ram_SEK+E62*IAAS_nvme_SEK+F62*IAAS_gpu_SEK</f>
        <v>6950</v>
      </c>
      <c r="I62" s="75"/>
      <c r="J62" s="134"/>
      <c r="K62" s="76">
        <f t="shared" ref="K62:K65" si="7">ROUNDUP(I62*H62,2)</f>
        <v>0</v>
      </c>
      <c r="M62" s="10"/>
      <c r="P62" s="53"/>
      <c r="R62" s="53"/>
    </row>
    <row r="63" spans="1:20" s="41" customFormat="1" ht="25" hidden="1" customHeight="1">
      <c r="B63" s="77" t="s">
        <v>54</v>
      </c>
      <c r="C63" s="78">
        <v>8</v>
      </c>
      <c r="D63" s="78">
        <v>32</v>
      </c>
      <c r="E63" s="79">
        <v>500</v>
      </c>
      <c r="F63" s="135">
        <v>2</v>
      </c>
      <c r="G63" s="136">
        <f t="shared" si="5"/>
        <v>19.305555555555557</v>
      </c>
      <c r="H63" s="81">
        <f t="shared" si="6"/>
        <v>13900</v>
      </c>
      <c r="I63" s="75"/>
      <c r="J63" s="40"/>
      <c r="K63" s="83">
        <f t="shared" si="7"/>
        <v>0</v>
      </c>
      <c r="M63" s="10"/>
      <c r="P63" s="53"/>
      <c r="R63" s="53"/>
    </row>
    <row r="64" spans="1:20" s="41" customFormat="1" ht="25" hidden="1" customHeight="1">
      <c r="B64" s="70" t="s">
        <v>55</v>
      </c>
      <c r="C64" s="71">
        <v>16</v>
      </c>
      <c r="D64" s="71">
        <v>64</v>
      </c>
      <c r="E64" s="72">
        <v>1000</v>
      </c>
      <c r="F64" s="132">
        <v>4</v>
      </c>
      <c r="G64" s="133">
        <f t="shared" si="5"/>
        <v>38.611111111111114</v>
      </c>
      <c r="H64" s="74">
        <f t="shared" si="6"/>
        <v>27800</v>
      </c>
      <c r="I64" s="75"/>
      <c r="J64" s="134"/>
      <c r="K64" s="76">
        <f t="shared" si="7"/>
        <v>0</v>
      </c>
      <c r="M64" s="10"/>
      <c r="P64" s="53"/>
      <c r="R64" s="53"/>
    </row>
    <row r="65" spans="2:20" s="41" customFormat="1" ht="25" hidden="1" customHeight="1">
      <c r="B65" s="77" t="s">
        <v>56</v>
      </c>
      <c r="C65" s="78">
        <v>32</v>
      </c>
      <c r="D65" s="78">
        <v>128</v>
      </c>
      <c r="E65" s="79">
        <v>1000</v>
      </c>
      <c r="F65" s="135">
        <v>6</v>
      </c>
      <c r="G65" s="136">
        <f t="shared" si="5"/>
        <v>60.555555555555557</v>
      </c>
      <c r="H65" s="81">
        <f t="shared" si="6"/>
        <v>43600</v>
      </c>
      <c r="I65" s="75"/>
      <c r="J65" s="40"/>
      <c r="K65" s="83">
        <f t="shared" si="7"/>
        <v>0</v>
      </c>
      <c r="M65" s="10"/>
      <c r="P65" s="53"/>
      <c r="R65" s="53"/>
    </row>
    <row r="66" spans="2:20" s="84" customFormat="1" ht="25" hidden="1" customHeight="1">
      <c r="B66" s="85" t="s">
        <v>33</v>
      </c>
      <c r="C66" s="86" t="str">
        <f t="array" ref="C66">SUM(I62:I65*C62:C65)&amp;" st"</f>
        <v>0 st</v>
      </c>
      <c r="D66" s="86" t="str">
        <f t="array" ref="D66">SUM(I62:I65*D62:D65)&amp;" GB"</f>
        <v>0 GB</v>
      </c>
      <c r="E66" s="87" t="str">
        <f t="array" ref="E66">SUM(I62:I65*E62:E65)&amp;" GB"</f>
        <v>0 GB</v>
      </c>
      <c r="F66" s="87" t="str">
        <f t="array" ref="F66">SUM(I62:I65*F62:F65)&amp;" st"</f>
        <v>0 st</v>
      </c>
      <c r="G66" s="86"/>
      <c r="H66" s="86"/>
      <c r="I66" s="86" t="str">
        <f>SUM(I62:I65)&amp;" st"</f>
        <v>0 st</v>
      </c>
      <c r="J66" s="86"/>
      <c r="K66" s="88">
        <f>SUM(K62:K65)</f>
        <v>0</v>
      </c>
      <c r="M66" s="10"/>
      <c r="P66" s="89"/>
      <c r="R66" s="89"/>
    </row>
    <row r="67" spans="2:20" s="41" customFormat="1" ht="25" hidden="1" customHeight="1">
      <c r="B67" s="119"/>
      <c r="C67" s="137"/>
      <c r="D67" s="137"/>
      <c r="E67" s="120"/>
      <c r="F67" s="137"/>
      <c r="G67" s="137"/>
      <c r="H67" s="54"/>
      <c r="I67" s="54"/>
      <c r="J67" s="54"/>
      <c r="K67" s="138"/>
      <c r="M67" s="10"/>
      <c r="P67" s="53"/>
      <c r="R67" s="53"/>
    </row>
    <row r="68" spans="2:20" s="41" customFormat="1" ht="25" hidden="1" customHeight="1">
      <c r="B68" s="119"/>
      <c r="C68" s="137"/>
      <c r="D68" s="137"/>
      <c r="E68" s="120"/>
      <c r="F68" s="137"/>
      <c r="G68" s="137"/>
      <c r="H68" s="54"/>
      <c r="I68" s="54"/>
      <c r="J68" s="54"/>
      <c r="K68" s="138"/>
      <c r="M68" s="10"/>
      <c r="P68" s="53"/>
      <c r="R68" s="53"/>
    </row>
    <row r="69" spans="2:20" s="55" customFormat="1" ht="25" hidden="1" customHeight="1">
      <c r="B69" s="56" t="s">
        <v>57</v>
      </c>
      <c r="C69" s="139"/>
      <c r="D69" s="139"/>
      <c r="E69" s="139"/>
      <c r="F69" s="139"/>
      <c r="G69" s="139"/>
      <c r="H69" s="54"/>
      <c r="I69" s="54"/>
      <c r="J69" s="54"/>
      <c r="K69" s="138"/>
      <c r="M69" s="10"/>
      <c r="N69" s="54"/>
      <c r="O69" s="54"/>
      <c r="P69" s="61"/>
      <c r="Q69" s="54"/>
      <c r="R69" s="62"/>
    </row>
    <row r="70" spans="2:20" ht="25" hidden="1" customHeight="1">
      <c r="B70" s="537" t="s">
        <v>49</v>
      </c>
      <c r="C70" s="537"/>
      <c r="D70" s="537"/>
      <c r="E70" s="537"/>
      <c r="M70" s="10"/>
    </row>
    <row r="71" spans="2:20" s="127" customFormat="1" ht="25" hidden="1" customHeight="1">
      <c r="B71" s="64" t="s">
        <v>11</v>
      </c>
      <c r="C71" s="65" t="s">
        <v>50</v>
      </c>
      <c r="D71" s="65" t="s">
        <v>35</v>
      </c>
      <c r="E71" s="108" t="s">
        <v>51</v>
      </c>
      <c r="F71" s="108" t="s">
        <v>15</v>
      </c>
      <c r="G71" s="66" t="s">
        <v>16</v>
      </c>
      <c r="H71" s="65"/>
      <c r="I71" s="67" t="s">
        <v>58</v>
      </c>
      <c r="J71" s="65"/>
      <c r="K71" s="68" t="s">
        <v>18</v>
      </c>
      <c r="L71" s="129"/>
      <c r="M71" s="10"/>
      <c r="Q71" s="130"/>
      <c r="R71" s="130"/>
      <c r="S71" s="131"/>
    </row>
    <row r="72" spans="2:20" s="41" customFormat="1" ht="25" hidden="1" customHeight="1">
      <c r="B72" s="140" t="s">
        <v>59</v>
      </c>
      <c r="C72" s="141">
        <v>16</v>
      </c>
      <c r="D72" s="141">
        <v>128</v>
      </c>
      <c r="E72" s="142">
        <v>3800</v>
      </c>
      <c r="F72" s="143">
        <f t="shared" ref="F72:F83" si="8">G72/720</f>
        <v>9.5</v>
      </c>
      <c r="G72" s="144">
        <f>INSTANCE_p1.2xlarge.16d_SEK</f>
        <v>6840</v>
      </c>
      <c r="H72" s="134"/>
      <c r="I72" s="75"/>
      <c r="J72" s="134"/>
      <c r="K72" s="76">
        <f t="shared" ref="K72:K74" si="9">ROUNDUP(I72*G72,2)</f>
        <v>0</v>
      </c>
      <c r="L72" s="54"/>
      <c r="M72" s="10"/>
    </row>
    <row r="73" spans="2:20" s="41" customFormat="1" ht="25" hidden="1" customHeight="1">
      <c r="B73" s="145" t="s">
        <v>60</v>
      </c>
      <c r="C73" s="146">
        <v>32</v>
      </c>
      <c r="D73" s="146">
        <v>256</v>
      </c>
      <c r="E73" s="147">
        <v>3800</v>
      </c>
      <c r="F73" s="148">
        <f t="shared" si="8"/>
        <v>19</v>
      </c>
      <c r="G73" s="149">
        <f>INSTANCE_p1.4xlarge.16d_SEK</f>
        <v>13680</v>
      </c>
      <c r="H73" s="40"/>
      <c r="I73" s="75"/>
      <c r="J73" s="40"/>
      <c r="K73" s="83">
        <f t="shared" si="9"/>
        <v>0</v>
      </c>
      <c r="L73" s="54"/>
      <c r="M73" s="10"/>
      <c r="S73" s="53"/>
    </row>
    <row r="74" spans="2:20" s="150" customFormat="1" ht="25" hidden="1" customHeight="1">
      <c r="B74" s="151" t="s">
        <v>61</v>
      </c>
      <c r="C74" s="152">
        <v>64</v>
      </c>
      <c r="D74" s="152">
        <v>512</v>
      </c>
      <c r="E74" s="153">
        <v>7600</v>
      </c>
      <c r="F74" s="154">
        <f t="shared" si="8"/>
        <v>38</v>
      </c>
      <c r="G74" s="144">
        <f>INSTANCE_p1.8xlarge.32d_SEK</f>
        <v>27360</v>
      </c>
      <c r="H74" s="134"/>
      <c r="I74" s="75"/>
      <c r="J74" s="134"/>
      <c r="K74" s="76">
        <f t="shared" si="9"/>
        <v>0</v>
      </c>
      <c r="L74" s="155"/>
      <c r="M74" s="10"/>
    </row>
    <row r="75" spans="2:20" s="84" customFormat="1" ht="25" hidden="1" customHeight="1">
      <c r="B75" s="85" t="s">
        <v>33</v>
      </c>
      <c r="C75" s="86" t="str">
        <f t="array" ref="C75">SUM(I72:I74*C72:C74)&amp;" st"</f>
        <v>0 st</v>
      </c>
      <c r="D75" s="86" t="str">
        <f t="array" ref="D75">SUM(I72:I74*D72:D74)&amp;" GB"</f>
        <v>0 GB</v>
      </c>
      <c r="E75" s="87" t="str">
        <f t="array" ref="E75">SUM(I72:I74*E72:E74)&amp;" GB"</f>
        <v>0 GB</v>
      </c>
      <c r="F75" s="86"/>
      <c r="G75" s="86"/>
      <c r="H75" s="86"/>
      <c r="I75" s="86" t="str">
        <f>SUM(I72:I74)&amp;" st"</f>
        <v>0 st</v>
      </c>
      <c r="J75" s="86"/>
      <c r="K75" s="88">
        <f>SUM(K72:K74)</f>
        <v>0</v>
      </c>
      <c r="M75" s="10"/>
      <c r="P75" s="89"/>
      <c r="R75" s="89"/>
    </row>
    <row r="76" spans="2:20" ht="25" customHeight="1">
      <c r="B76" s="156"/>
      <c r="C76" s="157"/>
      <c r="D76" s="157"/>
      <c r="E76" s="157"/>
      <c r="F76" s="157"/>
      <c r="G76" s="157"/>
      <c r="H76" s="150"/>
      <c r="I76" s="95"/>
      <c r="J76" s="95"/>
      <c r="K76" s="158"/>
      <c r="L76" s="121"/>
      <c r="M76" s="10"/>
    </row>
    <row r="77" spans="2:20" s="41" customFormat="1" ht="25" customHeight="1">
      <c r="B77" s="159"/>
      <c r="C77" s="137"/>
      <c r="D77" s="137"/>
      <c r="E77" s="137"/>
      <c r="F77" s="137"/>
      <c r="G77" s="137"/>
      <c r="H77" s="54"/>
      <c r="I77" s="54"/>
      <c r="J77" s="54"/>
      <c r="K77" s="138"/>
      <c r="L77" s="160"/>
      <c r="M77" s="10"/>
      <c r="Q77" s="53"/>
      <c r="S77" s="53"/>
    </row>
    <row r="78" spans="2:20" ht="25" customHeight="1">
      <c r="B78" s="56" t="s">
        <v>62</v>
      </c>
      <c r="C78" s="139"/>
      <c r="D78" s="139"/>
      <c r="E78" s="139"/>
      <c r="F78" s="139"/>
      <c r="G78" s="139"/>
      <c r="H78" s="54"/>
      <c r="I78" s="54"/>
      <c r="J78" s="54"/>
      <c r="K78" s="138"/>
      <c r="L78" s="160"/>
      <c r="M78" s="10"/>
      <c r="N78" s="41"/>
      <c r="O78" s="41"/>
      <c r="P78" s="41"/>
      <c r="Q78" s="41"/>
      <c r="R78" s="53"/>
      <c r="S78" s="41"/>
      <c r="T78" s="69"/>
    </row>
    <row r="79" spans="2:20" ht="25" customHeight="1">
      <c r="B79" s="161" t="s">
        <v>63</v>
      </c>
      <c r="M79" s="10"/>
    </row>
    <row r="80" spans="2:20" s="162" customFormat="1" ht="25" customHeight="1">
      <c r="B80" s="64" t="s">
        <v>11</v>
      </c>
      <c r="C80" s="163" t="s">
        <v>64</v>
      </c>
      <c r="D80" s="163"/>
      <c r="E80" s="163"/>
      <c r="F80" s="107" t="s">
        <v>15</v>
      </c>
      <c r="G80" s="66" t="s">
        <v>16</v>
      </c>
      <c r="H80" s="163"/>
      <c r="I80" s="164" t="s">
        <v>65</v>
      </c>
      <c r="J80" s="163"/>
      <c r="K80" s="165" t="s">
        <v>66</v>
      </c>
      <c r="L80" s="111"/>
      <c r="M80" s="10"/>
      <c r="N80" s="111"/>
      <c r="R80" s="166"/>
      <c r="S80" s="166"/>
      <c r="T80" s="167"/>
    </row>
    <row r="81" spans="2:20" s="41" customFormat="1" ht="25" customHeight="1">
      <c r="B81" s="140" t="s">
        <v>67</v>
      </c>
      <c r="C81" s="168" t="s">
        <v>68</v>
      </c>
      <c r="D81" s="169"/>
      <c r="E81" s="169"/>
      <c r="F81" s="170">
        <f t="shared" si="8"/>
        <v>1.6666666666666666E-3</v>
      </c>
      <c r="G81" s="143">
        <f>VOLUME_large_SEK</f>
        <v>1.2</v>
      </c>
      <c r="H81" s="171"/>
      <c r="I81" s="172"/>
      <c r="J81" s="173"/>
      <c r="K81" s="174">
        <f t="shared" ref="K81:K83" si="10">ROUNDUP(I81*G81,2)</f>
        <v>0</v>
      </c>
      <c r="L81" s="54"/>
      <c r="M81" s="10"/>
    </row>
    <row r="82" spans="2:20" s="41" customFormat="1" ht="25" customHeight="1">
      <c r="B82" s="145" t="s">
        <v>69</v>
      </c>
      <c r="C82" s="41" t="s">
        <v>70</v>
      </c>
      <c r="D82" s="150"/>
      <c r="E82" s="150"/>
      <c r="F82" s="175">
        <f t="shared" si="8"/>
        <v>5.0000000000000001E-3</v>
      </c>
      <c r="G82" s="148">
        <f>VOLUME_fast_SEK</f>
        <v>3.6</v>
      </c>
      <c r="H82" s="176"/>
      <c r="I82" s="177"/>
      <c r="J82" s="178"/>
      <c r="K82" s="179">
        <f t="shared" si="10"/>
        <v>0</v>
      </c>
      <c r="L82" s="54"/>
      <c r="M82" s="10"/>
      <c r="T82" s="53"/>
    </row>
    <row r="83" spans="2:20" s="41" customFormat="1" ht="25" customHeight="1">
      <c r="B83" s="140" t="s">
        <v>71</v>
      </c>
      <c r="C83" s="168" t="s">
        <v>72</v>
      </c>
      <c r="D83" s="169"/>
      <c r="E83" s="169"/>
      <c r="F83" s="170">
        <f t="shared" si="8"/>
        <v>1.6666666666666666E-3</v>
      </c>
      <c r="G83" s="143">
        <f>VOLUME_large_SEK</f>
        <v>1.2</v>
      </c>
      <c r="H83" s="180"/>
      <c r="I83" s="172"/>
      <c r="J83" s="173"/>
      <c r="K83" s="174">
        <f t="shared" si="10"/>
        <v>0</v>
      </c>
      <c r="L83" s="54"/>
      <c r="M83" s="10"/>
    </row>
    <row r="84" spans="2:20" s="84" customFormat="1" ht="25" customHeight="1">
      <c r="B84" s="85" t="s">
        <v>33</v>
      </c>
      <c r="C84" s="86"/>
      <c r="D84" s="86"/>
      <c r="E84" s="86"/>
      <c r="F84" s="86"/>
      <c r="G84" s="86"/>
      <c r="H84" s="86"/>
      <c r="I84" s="86" t="str">
        <f>SUM(I81:I83)&amp;" GB"</f>
        <v>0 GB</v>
      </c>
      <c r="J84" s="86"/>
      <c r="K84" s="88">
        <f>SUM(K81:K83)</f>
        <v>0</v>
      </c>
      <c r="M84" s="10"/>
      <c r="P84" s="89"/>
      <c r="R84" s="89"/>
    </row>
    <row r="85" spans="2:20" ht="25" customHeight="1">
      <c r="B85" s="156"/>
      <c r="C85" s="156"/>
      <c r="D85" s="157"/>
      <c r="E85" s="157"/>
      <c r="F85" s="157"/>
      <c r="G85" s="157"/>
      <c r="H85" s="150"/>
      <c r="I85" s="181"/>
      <c r="J85" s="181"/>
      <c r="K85" s="182"/>
      <c r="L85" s="183"/>
      <c r="M85" s="10"/>
    </row>
    <row r="86" spans="2:20" s="20" customFormat="1" ht="25" customHeight="1">
      <c r="B86" s="156"/>
      <c r="C86" s="157"/>
      <c r="D86" s="157"/>
      <c r="E86" s="157"/>
      <c r="F86" s="157"/>
      <c r="G86" s="157"/>
      <c r="H86" s="181"/>
      <c r="I86" s="181"/>
      <c r="J86" s="181"/>
      <c r="K86" s="184"/>
      <c r="L86" s="185"/>
      <c r="M86" s="10"/>
    </row>
    <row r="87" spans="2:20" s="20" customFormat="1" ht="25" customHeight="1">
      <c r="B87" s="534" t="s">
        <v>73</v>
      </c>
      <c r="C87" s="534"/>
      <c r="D87" s="534"/>
      <c r="E87" s="534"/>
      <c r="F87" s="534"/>
      <c r="G87" s="534"/>
      <c r="H87" s="534"/>
      <c r="I87" s="534"/>
      <c r="J87" s="534"/>
      <c r="K87" s="534"/>
      <c r="M87" s="10"/>
    </row>
    <row r="88" spans="2:20" s="20" customFormat="1" ht="25" customHeight="1">
      <c r="B88" s="534"/>
      <c r="C88" s="534"/>
      <c r="D88" s="534"/>
      <c r="E88" s="534"/>
      <c r="F88" s="534"/>
      <c r="G88" s="534"/>
      <c r="H88" s="534"/>
      <c r="I88" s="534"/>
      <c r="J88" s="534"/>
      <c r="K88" s="534"/>
      <c r="M88" s="10"/>
    </row>
    <row r="89" spans="2:20" s="20" customFormat="1" ht="25" customHeight="1">
      <c r="B89" s="534"/>
      <c r="C89" s="534"/>
      <c r="D89" s="534"/>
      <c r="E89" s="534"/>
      <c r="F89" s="534"/>
      <c r="G89" s="534"/>
      <c r="H89" s="534"/>
      <c r="I89" s="534"/>
      <c r="J89" s="534"/>
      <c r="K89" s="534"/>
      <c r="M89" s="10"/>
    </row>
    <row r="90" spans="2:20" s="20" customFormat="1" ht="25" customHeight="1">
      <c r="B90" s="42" t="s">
        <v>74</v>
      </c>
      <c r="C90" s="42"/>
      <c r="D90" s="42"/>
      <c r="E90" s="42"/>
      <c r="F90" s="42"/>
      <c r="H90" s="37"/>
      <c r="J90" s="40"/>
      <c r="K90" s="38"/>
      <c r="M90" s="10"/>
    </row>
    <row r="91" spans="2:20" s="186" customFormat="1" ht="25" customHeight="1">
      <c r="B91" s="44" t="s">
        <v>7</v>
      </c>
      <c r="C91" s="44"/>
      <c r="D91" s="44"/>
      <c r="E91" s="44"/>
      <c r="F91" s="44"/>
      <c r="G91" s="187"/>
      <c r="H91" s="188"/>
      <c r="I91" s="187"/>
      <c r="J91" s="189"/>
      <c r="K91" s="190"/>
      <c r="L91" s="187"/>
      <c r="M91" s="10"/>
    </row>
    <row r="92" spans="2:20" s="20" customFormat="1" ht="25" customHeight="1">
      <c r="B92" s="50" t="s">
        <v>8</v>
      </c>
      <c r="C92" s="51"/>
      <c r="D92" s="51"/>
      <c r="E92" s="52"/>
      <c r="F92" s="52"/>
      <c r="G92" s="45"/>
      <c r="H92" s="46"/>
      <c r="I92" s="45"/>
      <c r="J92" s="47"/>
      <c r="K92" s="48"/>
      <c r="L92" s="191"/>
      <c r="M92" s="10"/>
      <c r="O92" s="41"/>
      <c r="P92" s="41"/>
    </row>
    <row r="93" spans="2:20" s="41" customFormat="1" ht="25" customHeight="1">
      <c r="B93" s="159"/>
      <c r="C93" s="137"/>
      <c r="D93" s="137"/>
      <c r="E93" s="137"/>
      <c r="F93" s="137"/>
      <c r="G93" s="137"/>
      <c r="H93" s="54"/>
      <c r="I93" s="54"/>
      <c r="J93" s="54"/>
      <c r="K93" s="138"/>
      <c r="L93" s="160"/>
      <c r="M93" s="10"/>
      <c r="R93" s="53"/>
      <c r="T93" s="53"/>
    </row>
    <row r="94" spans="2:20" s="20" customFormat="1" ht="25" customHeight="1">
      <c r="B94" s="64" t="s">
        <v>11</v>
      </c>
      <c r="C94" s="192"/>
      <c r="D94" s="66"/>
      <c r="E94" s="66"/>
      <c r="F94" s="163"/>
      <c r="G94" s="66" t="s">
        <v>75</v>
      </c>
      <c r="H94" s="163"/>
      <c r="I94" s="164" t="s">
        <v>76</v>
      </c>
      <c r="J94" s="66"/>
      <c r="K94" s="165" t="s">
        <v>77</v>
      </c>
      <c r="L94" s="49"/>
      <c r="M94" s="10"/>
      <c r="N94" s="41"/>
    </row>
    <row r="95" spans="2:20" s="193" customFormat="1" ht="25" customHeight="1">
      <c r="B95" s="70" t="s">
        <v>78</v>
      </c>
      <c r="C95" s="194" t="s">
        <v>79</v>
      </c>
      <c r="D95" s="194"/>
      <c r="E95" s="195"/>
      <c r="F95" s="196"/>
      <c r="G95" s="197">
        <f>S3_archive.50_SEK</f>
        <v>350</v>
      </c>
      <c r="H95" s="196"/>
      <c r="I95" s="198"/>
      <c r="J95" s="199"/>
      <c r="K95" s="200">
        <f t="shared" ref="K95:K96" si="11">I95*G95</f>
        <v>0</v>
      </c>
      <c r="L95" s="201"/>
      <c r="M95" s="10"/>
      <c r="N95" s="150"/>
    </row>
    <row r="96" spans="2:20" s="41" customFormat="1" ht="25" customHeight="1">
      <c r="B96" s="145" t="s">
        <v>80</v>
      </c>
      <c r="C96" s="41" t="s">
        <v>81</v>
      </c>
      <c r="D96" s="150"/>
      <c r="E96" s="150"/>
      <c r="F96" s="176"/>
      <c r="G96" s="202">
        <f>S3_storage50_SEK</f>
        <v>500</v>
      </c>
      <c r="H96" s="203"/>
      <c r="I96" s="204"/>
      <c r="J96" s="178"/>
      <c r="K96" s="179">
        <f t="shared" si="11"/>
        <v>0</v>
      </c>
      <c r="L96" s="54"/>
      <c r="M96" s="10"/>
      <c r="T96" s="53"/>
    </row>
    <row r="97" spans="2:19" s="84" customFormat="1" ht="25" customHeight="1">
      <c r="B97" s="85" t="s">
        <v>33</v>
      </c>
      <c r="C97" s="86"/>
      <c r="D97" s="86"/>
      <c r="E97" s="86"/>
      <c r="F97" s="86"/>
      <c r="G97" s="86"/>
      <c r="H97" s="86"/>
      <c r="I97" s="86"/>
      <c r="J97" s="86"/>
      <c r="K97" s="88">
        <f>SUM(K95:K96)</f>
        <v>0</v>
      </c>
      <c r="M97" s="10"/>
      <c r="P97" s="89"/>
      <c r="R97" s="89"/>
    </row>
    <row r="98" spans="2:19" ht="25" customHeight="1">
      <c r="B98" s="98"/>
      <c r="C98" s="99"/>
      <c r="D98" s="99"/>
      <c r="E98" s="99"/>
      <c r="F98" s="99"/>
      <c r="G98" s="100"/>
      <c r="H98" s="101"/>
      <c r="I98" s="101"/>
      <c r="M98" s="10"/>
      <c r="N98" s="53"/>
      <c r="O98" s="53"/>
      <c r="P98" s="69"/>
    </row>
    <row r="99" spans="2:19" s="122" customFormat="1" ht="25" hidden="1" customHeight="1">
      <c r="B99" s="205" t="s">
        <v>82</v>
      </c>
      <c r="C99" s="206"/>
      <c r="D99" s="206"/>
      <c r="E99" s="206"/>
      <c r="F99" s="206"/>
      <c r="G99" s="206"/>
      <c r="H99" s="207"/>
      <c r="I99" s="207"/>
      <c r="J99" s="207"/>
      <c r="K99" s="138"/>
      <c r="M99" s="10"/>
      <c r="N99" s="207"/>
      <c r="O99" s="207"/>
      <c r="P99" s="125"/>
      <c r="Q99" s="207"/>
      <c r="R99" s="126"/>
    </row>
    <row r="100" spans="2:19" s="20" customFormat="1" ht="25" hidden="1" customHeight="1">
      <c r="B100" s="64" t="s">
        <v>11</v>
      </c>
      <c r="C100" s="192" t="s">
        <v>76</v>
      </c>
      <c r="D100" s="538" t="s">
        <v>83</v>
      </c>
      <c r="E100" s="538"/>
      <c r="F100" s="538"/>
      <c r="G100" s="538"/>
      <c r="H100" s="538"/>
      <c r="I100" s="538"/>
      <c r="J100" s="66"/>
      <c r="K100" s="165"/>
      <c r="L100" s="49"/>
      <c r="M100" s="10"/>
      <c r="N100" s="41"/>
    </row>
    <row r="101" spans="2:19" s="193" customFormat="1" ht="25" hidden="1" customHeight="1">
      <c r="B101" s="151" t="s">
        <v>84</v>
      </c>
      <c r="C101" s="208"/>
      <c r="D101" s="209"/>
      <c r="E101" s="210">
        <f t="array" ref="E101">_xlfn.IFS(H101&lt;50,D102,H101&lt;100,D103,H101&lt;500,D104,H101&lt;1000,D105,H101&gt;999,D106)</f>
        <v>185</v>
      </c>
      <c r="F101" s="210"/>
      <c r="G101" s="210"/>
      <c r="H101" s="211">
        <v>600</v>
      </c>
      <c r="I101" s="212" t="s">
        <v>85</v>
      </c>
      <c r="J101" s="213"/>
      <c r="K101" s="214">
        <f t="array" ref="K101">_xlfn.IFS(H101&lt;1000,ROUNDUP(H101*E101,2),H101&gt;999,E101)</f>
        <v>111000</v>
      </c>
      <c r="L101" s="201"/>
      <c r="M101" s="10"/>
      <c r="N101" s="150"/>
    </row>
    <row r="102" spans="2:19" s="20" customFormat="1" ht="25" hidden="1" customHeight="1">
      <c r="B102" s="215" t="s">
        <v>84</v>
      </c>
      <c r="C102" s="216" t="s">
        <v>86</v>
      </c>
      <c r="D102" s="539">
        <f>S3_archive.50_SEK</f>
        <v>350</v>
      </c>
      <c r="E102" s="539"/>
      <c r="F102" s="539"/>
      <c r="G102" s="539"/>
      <c r="H102" s="539"/>
      <c r="I102" s="539"/>
      <c r="J102" s="217"/>
      <c r="K102" s="218"/>
      <c r="L102" s="49"/>
      <c r="M102" s="10"/>
      <c r="N102" s="41"/>
    </row>
    <row r="103" spans="2:19" s="20" customFormat="1" ht="25" hidden="1" customHeight="1">
      <c r="B103" s="219" t="s">
        <v>84</v>
      </c>
      <c r="C103" s="220" t="s">
        <v>87</v>
      </c>
      <c r="D103" s="540">
        <f>S3_archive.100_SEK</f>
        <v>270</v>
      </c>
      <c r="E103" s="540"/>
      <c r="F103" s="540"/>
      <c r="G103" s="540"/>
      <c r="H103" s="540"/>
      <c r="I103" s="540"/>
      <c r="J103" s="221"/>
      <c r="K103" s="222"/>
      <c r="L103" s="49"/>
      <c r="M103" s="10"/>
      <c r="N103" s="41"/>
    </row>
    <row r="104" spans="2:19" s="20" customFormat="1" ht="25" hidden="1" customHeight="1">
      <c r="B104" s="215" t="s">
        <v>84</v>
      </c>
      <c r="C104" s="216" t="s">
        <v>88</v>
      </c>
      <c r="D104" s="541">
        <f>S3_archive.500_SEK</f>
        <v>200</v>
      </c>
      <c r="E104" s="541"/>
      <c r="F104" s="541"/>
      <c r="G104" s="541"/>
      <c r="H104" s="541"/>
      <c r="I104" s="541"/>
      <c r="J104" s="223"/>
      <c r="K104" s="224"/>
      <c r="L104" s="49"/>
      <c r="M104" s="10"/>
      <c r="N104" s="41"/>
    </row>
    <row r="105" spans="2:19" s="20" customFormat="1" ht="25" hidden="1" customHeight="1">
      <c r="B105" s="219" t="s">
        <v>84</v>
      </c>
      <c r="C105" s="220" t="s">
        <v>89</v>
      </c>
      <c r="D105" s="540">
        <f>S3_archive.1000_SEK</f>
        <v>185</v>
      </c>
      <c r="E105" s="540"/>
      <c r="F105" s="540"/>
      <c r="G105" s="540"/>
      <c r="H105" s="540"/>
      <c r="I105" s="540"/>
      <c r="J105" s="221"/>
      <c r="K105" s="222"/>
      <c r="L105" s="49"/>
      <c r="M105" s="10"/>
      <c r="N105" s="41"/>
    </row>
    <row r="106" spans="2:19" s="20" customFormat="1" ht="25" hidden="1" customHeight="1">
      <c r="B106" s="225" t="s">
        <v>84</v>
      </c>
      <c r="C106" s="226" t="s">
        <v>90</v>
      </c>
      <c r="D106" s="542" t="str">
        <f>S3_archive.quote_SEK</f>
        <v>Be om offert</v>
      </c>
      <c r="E106" s="542"/>
      <c r="F106" s="542"/>
      <c r="G106" s="542"/>
      <c r="H106" s="542"/>
      <c r="I106" s="542"/>
      <c r="J106" s="227"/>
      <c r="K106" s="228"/>
      <c r="L106" s="49"/>
      <c r="M106" s="10"/>
      <c r="N106" s="41"/>
    </row>
    <row r="107" spans="2:19" s="20" customFormat="1" ht="25" hidden="1" customHeight="1">
      <c r="B107" s="119" t="s">
        <v>91</v>
      </c>
      <c r="C107" s="120"/>
      <c r="D107" s="120"/>
      <c r="E107" s="120"/>
      <c r="F107" s="93"/>
      <c r="G107" s="93"/>
      <c r="H107" s="94"/>
      <c r="I107" s="94"/>
      <c r="J107" s="92"/>
      <c r="K107" s="97">
        <f>K101</f>
        <v>111000</v>
      </c>
      <c r="L107" s="49"/>
      <c r="M107" s="10"/>
      <c r="N107" s="41"/>
    </row>
    <row r="108" spans="2:19" s="127" customFormat="1" ht="25" customHeight="1">
      <c r="B108" s="44"/>
      <c r="C108" s="120"/>
      <c r="D108" s="52"/>
      <c r="E108" s="52"/>
      <c r="F108" s="52"/>
      <c r="G108" s="45"/>
      <c r="H108" s="46"/>
      <c r="I108" s="94"/>
      <c r="J108" s="191"/>
      <c r="K108" s="48"/>
      <c r="L108" s="49"/>
      <c r="M108" s="10"/>
      <c r="N108" s="162"/>
      <c r="O108" s="162"/>
      <c r="P108" s="162"/>
      <c r="Q108" s="162"/>
      <c r="R108" s="162"/>
      <c r="S108" s="162"/>
    </row>
    <row r="109" spans="2:19" ht="25" customHeight="1">
      <c r="B109" s="229"/>
      <c r="C109" s="230"/>
      <c r="D109" s="230"/>
      <c r="E109" s="230"/>
      <c r="F109" s="231"/>
      <c r="G109" s="232"/>
      <c r="H109" s="181"/>
      <c r="I109" s="181"/>
      <c r="J109" s="181"/>
      <c r="K109" s="182"/>
      <c r="L109" s="183"/>
      <c r="M109" s="10"/>
      <c r="N109" s="41"/>
      <c r="Q109" s="20"/>
    </row>
    <row r="110" spans="2:19" s="20" customFormat="1" ht="25" customHeight="1">
      <c r="B110" s="534" t="s">
        <v>92</v>
      </c>
      <c r="C110" s="534"/>
      <c r="D110" s="534"/>
      <c r="E110" s="534"/>
      <c r="F110" s="534"/>
      <c r="G110" s="534"/>
      <c r="H110" s="37"/>
      <c r="J110" s="40"/>
      <c r="K110" s="38"/>
      <c r="L110" s="40"/>
      <c r="M110" s="10"/>
    </row>
    <row r="111" spans="2:19" s="20" customFormat="1" ht="25" customHeight="1">
      <c r="B111" s="534"/>
      <c r="C111" s="534"/>
      <c r="D111" s="534"/>
      <c r="E111" s="534"/>
      <c r="F111" s="534"/>
      <c r="G111" s="534"/>
      <c r="H111" s="37"/>
      <c r="J111" s="40"/>
      <c r="K111" s="38"/>
      <c r="L111" s="40"/>
      <c r="M111" s="10"/>
    </row>
    <row r="112" spans="2:19" s="20" customFormat="1" ht="25" customHeight="1">
      <c r="B112" s="534"/>
      <c r="C112" s="534"/>
      <c r="D112" s="534"/>
      <c r="E112" s="534"/>
      <c r="F112" s="534"/>
      <c r="G112" s="534"/>
      <c r="H112" s="37"/>
      <c r="J112" s="40"/>
      <c r="K112" s="38"/>
      <c r="L112" s="40"/>
      <c r="M112" s="10"/>
    </row>
    <row r="113" spans="2:32" s="20" customFormat="1" ht="25" customHeight="1">
      <c r="B113" s="42" t="s">
        <v>93</v>
      </c>
      <c r="C113" s="42"/>
      <c r="D113" s="42"/>
      <c r="E113" s="42"/>
      <c r="F113" s="42"/>
      <c r="H113" s="37"/>
      <c r="J113" s="40"/>
      <c r="K113" s="38"/>
      <c r="L113" s="40"/>
      <c r="M113" s="10"/>
    </row>
    <row r="114" spans="2:32" s="20" customFormat="1" ht="25" customHeight="1">
      <c r="B114" s="44" t="s">
        <v>94</v>
      </c>
      <c r="C114" s="44"/>
      <c r="D114" s="44"/>
      <c r="E114" s="44"/>
      <c r="F114" s="44"/>
      <c r="G114" s="45"/>
      <c r="H114" s="46"/>
      <c r="I114" s="45"/>
      <c r="J114" s="47"/>
      <c r="K114" s="48"/>
      <c r="L114" s="191"/>
      <c r="M114" s="10"/>
    </row>
    <row r="115" spans="2:32" s="54" customFormat="1" ht="25" customHeight="1">
      <c r="B115" s="50" t="s">
        <v>95</v>
      </c>
      <c r="C115" s="51"/>
      <c r="D115" s="51"/>
      <c r="E115" s="52"/>
      <c r="F115" s="52"/>
      <c r="G115" s="45"/>
      <c r="H115" s="46"/>
      <c r="I115" s="45"/>
      <c r="J115" s="47"/>
      <c r="K115" s="48"/>
      <c r="L115" s="191"/>
      <c r="M115" s="10"/>
      <c r="O115" s="41"/>
      <c r="P115" s="41"/>
      <c r="Q115" s="41"/>
      <c r="R115" s="41"/>
      <c r="S115" s="41"/>
      <c r="T115" s="41"/>
      <c r="U115" s="41"/>
      <c r="X115" s="1"/>
      <c r="Y115" s="1"/>
      <c r="Z115" s="1"/>
    </row>
    <row r="116" spans="2:32" s="127" customFormat="1" ht="25" customHeight="1">
      <c r="B116" s="233"/>
      <c r="C116" s="54"/>
      <c r="D116" s="54"/>
      <c r="E116" s="54"/>
      <c r="F116" s="54"/>
      <c r="G116" s="54"/>
      <c r="H116" s="54"/>
      <c r="I116" s="54"/>
      <c r="J116" s="54"/>
      <c r="K116" s="138"/>
      <c r="L116" s="54"/>
      <c r="M116" s="10"/>
      <c r="P116" s="162"/>
      <c r="Q116" s="162"/>
      <c r="R116" s="162"/>
      <c r="S116" s="162"/>
      <c r="T116" s="162"/>
      <c r="U116" s="162"/>
    </row>
    <row r="117" spans="2:32" ht="25" customHeight="1">
      <c r="B117" s="64" t="s">
        <v>11</v>
      </c>
      <c r="C117" s="234"/>
      <c r="D117" s="234"/>
      <c r="E117" s="163" t="s">
        <v>96</v>
      </c>
      <c r="F117" s="234"/>
      <c r="G117" s="163" t="s">
        <v>97</v>
      </c>
      <c r="H117" s="163"/>
      <c r="I117" s="164" t="s">
        <v>98</v>
      </c>
      <c r="J117" s="164" t="s">
        <v>99</v>
      </c>
      <c r="K117" s="165" t="s">
        <v>100</v>
      </c>
      <c r="L117" s="160"/>
      <c r="M117" s="10"/>
    </row>
    <row r="118" spans="2:32" ht="25" customHeight="1">
      <c r="B118" s="140" t="s">
        <v>101</v>
      </c>
      <c r="C118" s="169"/>
      <c r="D118" s="169"/>
      <c r="E118" s="235" t="s">
        <v>47</v>
      </c>
      <c r="F118" s="173"/>
      <c r="G118" s="236">
        <f>BAAS_on.demand_SEK</f>
        <v>2.4500000000000002</v>
      </c>
      <c r="H118" s="173"/>
      <c r="I118" s="198"/>
      <c r="J118" s="237" t="s">
        <v>47</v>
      </c>
      <c r="K118" s="174">
        <f>ROUNDUP(I118*G118,2)</f>
        <v>0</v>
      </c>
      <c r="L118" s="160"/>
      <c r="M118" s="10"/>
    </row>
    <row r="119" spans="2:32" ht="25" customHeight="1">
      <c r="B119" s="145" t="s">
        <v>102</v>
      </c>
      <c r="C119" s="150"/>
      <c r="D119" s="150"/>
      <c r="E119" s="238">
        <v>5500</v>
      </c>
      <c r="F119" s="178"/>
      <c r="G119" s="116">
        <f>BAAS_small_SEK</f>
        <v>1.75</v>
      </c>
      <c r="H119" s="178"/>
      <c r="I119" s="239"/>
      <c r="J119" s="240">
        <v>0.75</v>
      </c>
      <c r="K119" s="179">
        <f>IF(I119&gt;0,$E$119+($G$119*(I119*(1-$J$119))),0)</f>
        <v>0</v>
      </c>
      <c r="L119" s="160"/>
      <c r="M119" s="10"/>
    </row>
    <row r="120" spans="2:32" s="241" customFormat="1" ht="25" customHeight="1">
      <c r="B120" s="151" t="s">
        <v>103</v>
      </c>
      <c r="C120" s="208"/>
      <c r="D120" s="208"/>
      <c r="E120" s="242">
        <v>9500</v>
      </c>
      <c r="F120" s="212"/>
      <c r="G120" s="236">
        <f>BAAS_large_SEK</f>
        <v>0.92</v>
      </c>
      <c r="H120" s="212"/>
      <c r="I120" s="211"/>
      <c r="J120" s="243">
        <v>0.75</v>
      </c>
      <c r="K120" s="214">
        <f>IF(I120&gt;0,$E$120+($G$120*(I120*(1-$J$120))),0)</f>
        <v>0</v>
      </c>
      <c r="L120" s="160"/>
      <c r="M120" s="10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2:32" s="84" customFormat="1" ht="25" customHeight="1">
      <c r="B121" s="85" t="s">
        <v>33</v>
      </c>
      <c r="C121" s="86"/>
      <c r="D121" s="86"/>
      <c r="E121" s="86"/>
      <c r="F121" s="86"/>
      <c r="G121" s="86"/>
      <c r="H121" s="86"/>
      <c r="I121" s="86" t="str">
        <f>SUM(I118:I120)&amp;" GB"</f>
        <v>0 GB</v>
      </c>
      <c r="J121" s="86"/>
      <c r="K121" s="88">
        <f>SUM(K118:K120)</f>
        <v>0</v>
      </c>
      <c r="M121" s="10"/>
      <c r="P121" s="89"/>
      <c r="R121" s="89"/>
    </row>
    <row r="122" spans="2:32" s="241" customFormat="1" ht="25" customHeight="1">
      <c r="B122" s="119"/>
      <c r="C122" s="120"/>
      <c r="D122" s="120"/>
      <c r="E122" s="120"/>
      <c r="F122" s="244"/>
      <c r="G122" s="94"/>
      <c r="H122" s="94"/>
      <c r="I122" s="94"/>
      <c r="J122" s="94"/>
      <c r="K122" s="245"/>
      <c r="L122" s="92"/>
      <c r="M122" s="10"/>
      <c r="O122" s="246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2:32" ht="25" customHeight="1">
      <c r="B123" s="229"/>
      <c r="C123" s="230"/>
      <c r="D123" s="230"/>
      <c r="E123" s="230"/>
      <c r="F123" s="231"/>
      <c r="G123" s="232"/>
      <c r="H123" s="181"/>
      <c r="I123" s="181"/>
      <c r="J123" s="181"/>
      <c r="K123" s="182"/>
      <c r="L123" s="201"/>
      <c r="M123" s="10"/>
      <c r="N123" s="41"/>
    </row>
    <row r="124" spans="2:32" ht="25" hidden="1" customHeight="1">
      <c r="B124" s="229"/>
      <c r="C124" s="230"/>
      <c r="D124" s="230"/>
      <c r="E124" s="230"/>
      <c r="F124" s="231"/>
      <c r="G124" s="232"/>
      <c r="H124" s="181"/>
      <c r="I124" s="181"/>
      <c r="J124" s="181"/>
      <c r="K124" s="182"/>
      <c r="L124" s="183"/>
      <c r="M124" s="10"/>
      <c r="N124" s="41"/>
      <c r="Q124" s="20"/>
    </row>
    <row r="125" spans="2:32" s="20" customFormat="1" ht="25" hidden="1" customHeight="1">
      <c r="B125" s="534" t="s">
        <v>104</v>
      </c>
      <c r="C125" s="534"/>
      <c r="D125" s="534"/>
      <c r="E125" s="534"/>
      <c r="F125" s="534"/>
      <c r="G125" s="534"/>
      <c r="H125" s="37"/>
      <c r="J125" s="40"/>
      <c r="K125" s="38"/>
      <c r="L125" s="40"/>
      <c r="M125" s="10"/>
    </row>
    <row r="126" spans="2:32" s="20" customFormat="1" ht="25" hidden="1" customHeight="1">
      <c r="B126" s="534"/>
      <c r="C126" s="534"/>
      <c r="D126" s="534"/>
      <c r="E126" s="534"/>
      <c r="F126" s="534"/>
      <c r="G126" s="534"/>
      <c r="H126" s="37"/>
      <c r="J126" s="40"/>
      <c r="K126" s="38"/>
      <c r="L126" s="40"/>
      <c r="M126" s="10"/>
    </row>
    <row r="127" spans="2:32" s="20" customFormat="1" ht="25" hidden="1" customHeight="1">
      <c r="B127" s="534"/>
      <c r="C127" s="534"/>
      <c r="D127" s="534"/>
      <c r="E127" s="534"/>
      <c r="F127" s="534"/>
      <c r="G127" s="534"/>
      <c r="H127" s="37"/>
      <c r="J127" s="40"/>
      <c r="K127" s="38"/>
      <c r="L127" s="40"/>
      <c r="M127" s="10"/>
    </row>
    <row r="128" spans="2:32" s="20" customFormat="1" ht="25" hidden="1" customHeight="1">
      <c r="B128" s="42" t="s">
        <v>105</v>
      </c>
      <c r="C128" s="247"/>
      <c r="D128" s="247"/>
      <c r="E128" s="247"/>
      <c r="F128" s="247"/>
      <c r="H128" s="37"/>
      <c r="J128" s="40"/>
      <c r="K128" s="38"/>
      <c r="L128" s="40"/>
      <c r="M128" s="10"/>
    </row>
    <row r="129" spans="2:32" s="20" customFormat="1" ht="25" hidden="1" customHeight="1">
      <c r="B129" s="44" t="s">
        <v>106</v>
      </c>
      <c r="C129" s="186"/>
      <c r="D129" s="186"/>
      <c r="E129" s="186"/>
      <c r="F129" s="186"/>
      <c r="H129" s="46"/>
      <c r="I129" s="45"/>
      <c r="J129" s="47"/>
      <c r="K129" s="48"/>
      <c r="L129" s="191"/>
      <c r="M129" s="10"/>
    </row>
    <row r="130" spans="2:32" s="54" customFormat="1" ht="25" hidden="1" customHeight="1">
      <c r="B130" s="233"/>
      <c r="C130" s="233"/>
      <c r="D130" s="233"/>
      <c r="E130" s="233"/>
      <c r="F130" s="52"/>
      <c r="G130" s="45"/>
      <c r="H130" s="46"/>
      <c r="I130" s="45"/>
      <c r="J130" s="47"/>
      <c r="K130" s="48"/>
      <c r="L130" s="191"/>
      <c r="M130" s="10"/>
      <c r="O130" s="41"/>
      <c r="P130" s="41"/>
      <c r="Q130" s="41"/>
      <c r="R130" s="41"/>
      <c r="S130" s="41"/>
      <c r="T130" s="41"/>
      <c r="U130" s="41"/>
      <c r="X130" s="1"/>
      <c r="Y130" s="1"/>
      <c r="Z130" s="1"/>
    </row>
    <row r="131" spans="2:32" s="127" customFormat="1" ht="25" hidden="1" customHeight="1">
      <c r="B131" s="233"/>
      <c r="C131" s="54"/>
      <c r="D131" s="54"/>
      <c r="E131" s="54"/>
      <c r="F131" s="54"/>
      <c r="G131" s="54"/>
      <c r="H131" s="54"/>
      <c r="I131" s="54"/>
      <c r="J131" s="54"/>
      <c r="K131" s="138"/>
      <c r="L131" s="54"/>
      <c r="M131" s="10"/>
      <c r="P131" s="162"/>
      <c r="Q131" s="162"/>
      <c r="R131" s="162"/>
      <c r="S131" s="162"/>
      <c r="T131" s="162"/>
      <c r="U131" s="162"/>
    </row>
    <row r="132" spans="2:32" ht="25" hidden="1" customHeight="1">
      <c r="B132" s="64" t="s">
        <v>11</v>
      </c>
      <c r="C132" s="543" t="s">
        <v>107</v>
      </c>
      <c r="D132" s="543"/>
      <c r="E132" s="543" t="s">
        <v>108</v>
      </c>
      <c r="F132" s="543"/>
      <c r="G132" s="543" t="s">
        <v>96</v>
      </c>
      <c r="H132" s="543"/>
      <c r="I132" s="163"/>
      <c r="J132" s="163"/>
      <c r="K132" s="165" t="s">
        <v>109</v>
      </c>
      <c r="L132" s="160"/>
      <c r="M132" s="10"/>
    </row>
    <row r="133" spans="2:32" ht="25" hidden="1" customHeight="1">
      <c r="B133" s="248" t="s">
        <v>110</v>
      </c>
      <c r="C133" s="544" t="s">
        <v>111</v>
      </c>
      <c r="D133" s="544"/>
      <c r="E133" s="545" t="s">
        <v>112</v>
      </c>
      <c r="F133" s="545"/>
      <c r="G133" s="546">
        <v>15000</v>
      </c>
      <c r="H133" s="547"/>
      <c r="I133" s="198"/>
      <c r="J133" s="249">
        <v>0</v>
      </c>
      <c r="K133" s="250" t="str">
        <f>IF(J133=1,G133," ")</f>
        <v xml:space="preserve"> </v>
      </c>
      <c r="L133" s="160"/>
      <c r="M133" s="10"/>
    </row>
    <row r="134" spans="2:32" ht="25" hidden="1" customHeight="1">
      <c r="B134" s="145" t="s">
        <v>113</v>
      </c>
      <c r="C134" s="551" t="s">
        <v>114</v>
      </c>
      <c r="D134" s="551"/>
      <c r="E134" s="552" t="s">
        <v>115</v>
      </c>
      <c r="F134" s="552"/>
      <c r="G134" s="553">
        <v>24000</v>
      </c>
      <c r="H134" s="554"/>
      <c r="I134" s="204"/>
      <c r="J134" s="178"/>
      <c r="K134" s="251" t="str">
        <f>IF(J133=3,G134," ")</f>
        <v xml:space="preserve"> </v>
      </c>
      <c r="L134" s="160"/>
      <c r="M134" s="10"/>
    </row>
    <row r="135" spans="2:32" s="84" customFormat="1" ht="25" hidden="1" customHeight="1">
      <c r="B135" s="85" t="s">
        <v>33</v>
      </c>
      <c r="C135" s="86"/>
      <c r="D135" s="86"/>
      <c r="E135" s="86"/>
      <c r="F135" s="86"/>
      <c r="G135" s="86"/>
      <c r="H135" s="86"/>
      <c r="I135" s="86"/>
      <c r="J135" s="86"/>
      <c r="K135" s="88">
        <f>SUM(K133:K134)</f>
        <v>0</v>
      </c>
      <c r="M135" s="10"/>
      <c r="P135" s="89"/>
      <c r="R135" s="89"/>
    </row>
    <row r="136" spans="2:32" s="241" customFormat="1" ht="25" hidden="1" customHeight="1">
      <c r="B136" s="119"/>
      <c r="C136" s="94"/>
      <c r="D136" s="93"/>
      <c r="E136" s="93"/>
      <c r="F136" s="93"/>
      <c r="G136" s="94"/>
      <c r="H136" s="94"/>
      <c r="I136" s="94"/>
      <c r="J136" s="94"/>
      <c r="K136" s="97"/>
      <c r="L136" s="160"/>
      <c r="M136" s="10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2:32" s="241" customFormat="1" ht="25" customHeight="1">
      <c r="B137" s="119"/>
      <c r="C137" s="120"/>
      <c r="D137" s="120"/>
      <c r="E137" s="120"/>
      <c r="F137" s="93"/>
      <c r="G137" s="94"/>
      <c r="H137" s="94"/>
      <c r="I137" s="94"/>
      <c r="J137" s="94"/>
      <c r="K137" s="245"/>
      <c r="L137" s="92"/>
      <c r="M137" s="10"/>
      <c r="O137" s="246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2:32" s="127" customFormat="1" ht="25" customHeight="1">
      <c r="B138" s="44"/>
      <c r="C138" s="120"/>
      <c r="D138" s="52"/>
      <c r="E138" s="52"/>
      <c r="F138" s="52"/>
      <c r="G138" s="45"/>
      <c r="H138" s="46"/>
      <c r="I138" s="45"/>
      <c r="J138" s="191"/>
      <c r="K138" s="48"/>
      <c r="L138" s="49"/>
      <c r="M138" s="10"/>
      <c r="N138" s="162"/>
      <c r="O138" s="162"/>
      <c r="P138" s="162"/>
      <c r="Q138" s="162"/>
      <c r="R138" s="162"/>
      <c r="S138" s="162"/>
    </row>
    <row r="139" spans="2:32" s="20" customFormat="1" ht="25" customHeight="1">
      <c r="B139" s="534" t="s">
        <v>116</v>
      </c>
      <c r="C139" s="534"/>
      <c r="D139" s="534"/>
      <c r="E139" s="534"/>
      <c r="F139" s="534"/>
      <c r="G139" s="534"/>
      <c r="H139" s="37"/>
      <c r="J139" s="40"/>
      <c r="K139" s="38"/>
      <c r="M139" s="10"/>
    </row>
    <row r="140" spans="2:32" s="20" customFormat="1" ht="25" customHeight="1">
      <c r="B140" s="534"/>
      <c r="C140" s="534"/>
      <c r="D140" s="534"/>
      <c r="E140" s="534"/>
      <c r="F140" s="534"/>
      <c r="G140" s="534"/>
      <c r="H140" s="37"/>
      <c r="J140" s="40"/>
      <c r="K140" s="38"/>
      <c r="M140" s="10"/>
    </row>
    <row r="141" spans="2:32" s="20" customFormat="1" ht="25" customHeight="1">
      <c r="B141" s="534"/>
      <c r="C141" s="534"/>
      <c r="D141" s="534"/>
      <c r="E141" s="534"/>
      <c r="F141" s="534"/>
      <c r="G141" s="534"/>
      <c r="H141" s="37"/>
      <c r="J141" s="40"/>
      <c r="K141" s="38"/>
      <c r="M141" s="10"/>
    </row>
    <row r="142" spans="2:32" s="20" customFormat="1" ht="25" customHeight="1">
      <c r="B142" s="44" t="s">
        <v>94</v>
      </c>
      <c r="C142" s="186"/>
      <c r="D142" s="186"/>
      <c r="E142" s="186"/>
      <c r="F142" s="186"/>
      <c r="H142" s="37"/>
      <c r="J142" s="40"/>
      <c r="K142" s="38"/>
      <c r="M142" s="10"/>
    </row>
    <row r="143" spans="2:32" s="20" customFormat="1" ht="25" customHeight="1">
      <c r="B143" s="44"/>
      <c r="C143" s="52"/>
      <c r="D143" s="52"/>
      <c r="E143" s="52"/>
      <c r="F143" s="52"/>
      <c r="G143" s="45"/>
      <c r="H143" s="46"/>
      <c r="I143" s="45"/>
      <c r="J143" s="47"/>
      <c r="K143" s="48"/>
      <c r="L143" s="45"/>
      <c r="M143" s="10"/>
    </row>
    <row r="144" spans="2:32" s="54" customFormat="1" ht="25" customHeight="1">
      <c r="B144" s="56" t="s">
        <v>117</v>
      </c>
      <c r="C144" s="52"/>
      <c r="D144" s="52"/>
      <c r="E144" s="52"/>
      <c r="F144" s="52"/>
      <c r="G144" s="45"/>
      <c r="H144" s="45"/>
      <c r="I144" s="45"/>
      <c r="J144" s="47"/>
      <c r="K144" s="48"/>
      <c r="L144" s="45"/>
      <c r="M144" s="10"/>
      <c r="N144" s="41"/>
      <c r="O144" s="41"/>
      <c r="P144" s="41"/>
      <c r="Q144" s="41"/>
      <c r="R144" s="41"/>
      <c r="S144" s="41"/>
    </row>
    <row r="145" spans="2:18" ht="25" customHeight="1">
      <c r="B145" s="161" t="s">
        <v>118</v>
      </c>
      <c r="M145" s="10"/>
    </row>
    <row r="146" spans="2:18" ht="25" customHeight="1">
      <c r="B146" s="252" t="s">
        <v>11</v>
      </c>
      <c r="C146" s="253" t="s">
        <v>119</v>
      </c>
      <c r="D146" s="253"/>
      <c r="E146" s="163" t="s">
        <v>64</v>
      </c>
      <c r="F146" s="163"/>
      <c r="G146" s="163"/>
      <c r="H146" s="163"/>
      <c r="I146" s="163"/>
      <c r="J146" s="253" t="s">
        <v>120</v>
      </c>
      <c r="K146" s="165" t="s">
        <v>121</v>
      </c>
      <c r="L146" s="110"/>
      <c r="M146" s="10"/>
      <c r="N146" s="183"/>
      <c r="O146" s="54"/>
    </row>
    <row r="147" spans="2:18" ht="25" customHeight="1">
      <c r="B147" s="140" t="s">
        <v>122</v>
      </c>
      <c r="C147" s="254" t="s">
        <v>123</v>
      </c>
      <c r="D147" s="254"/>
      <c r="E147" s="168" t="s">
        <v>124</v>
      </c>
      <c r="F147" s="173"/>
      <c r="G147" s="173"/>
      <c r="H147" s="173"/>
      <c r="I147" s="173"/>
      <c r="J147" s="255" t="s">
        <v>125</v>
      </c>
      <c r="K147" s="174">
        <f>NET_publicv4_SEK</f>
        <v>25</v>
      </c>
      <c r="M147" s="10"/>
      <c r="N147" s="183"/>
      <c r="O147" s="54"/>
    </row>
    <row r="148" spans="2:18" ht="25" customHeight="1">
      <c r="B148" s="145" t="s">
        <v>126</v>
      </c>
      <c r="C148" s="256" t="s">
        <v>127</v>
      </c>
      <c r="D148" s="256"/>
      <c r="E148" s="41" t="s">
        <v>124</v>
      </c>
      <c r="F148" s="257"/>
      <c r="G148" s="257"/>
      <c r="H148" s="257"/>
      <c r="I148" s="257"/>
      <c r="J148" s="258" t="s">
        <v>47</v>
      </c>
      <c r="K148" s="179">
        <f>NET_publicv6_SEK</f>
        <v>0</v>
      </c>
      <c r="M148" s="10"/>
      <c r="N148" s="183"/>
      <c r="O148" s="54"/>
    </row>
    <row r="149" spans="2:18" ht="25" customHeight="1">
      <c r="B149" s="140" t="s">
        <v>128</v>
      </c>
      <c r="C149" s="254" t="s">
        <v>129</v>
      </c>
      <c r="D149" s="254"/>
      <c r="E149" s="260"/>
      <c r="F149" s="261"/>
      <c r="G149" s="261"/>
      <c r="H149" s="261"/>
      <c r="I149" s="261"/>
      <c r="J149" s="263" t="s">
        <v>47</v>
      </c>
      <c r="K149" s="174">
        <f>NET_ingress_SEK</f>
        <v>0</v>
      </c>
      <c r="M149" s="10"/>
      <c r="N149" s="183"/>
      <c r="O149" s="54"/>
    </row>
    <row r="150" spans="2:18" ht="25" customHeight="1">
      <c r="B150" s="145" t="s">
        <v>130</v>
      </c>
      <c r="C150" s="256" t="s">
        <v>129</v>
      </c>
      <c r="D150" s="256"/>
      <c r="E150" s="41"/>
      <c r="F150" s="257"/>
      <c r="G150" s="257"/>
      <c r="H150" s="257"/>
      <c r="I150" s="257"/>
      <c r="J150" s="258" t="s">
        <v>47</v>
      </c>
      <c r="K150" s="179">
        <f>NET_egress_SEK</f>
        <v>0</v>
      </c>
      <c r="M150" s="10"/>
      <c r="N150" s="183"/>
      <c r="O150" s="54"/>
    </row>
    <row r="151" spans="2:18" ht="25" customHeight="1">
      <c r="B151" s="140" t="s">
        <v>131</v>
      </c>
      <c r="C151" s="254" t="s">
        <v>132</v>
      </c>
      <c r="D151" s="254"/>
      <c r="E151" s="527" t="s">
        <v>473</v>
      </c>
      <c r="F151" s="261"/>
      <c r="G151" s="261"/>
      <c r="H151" s="261"/>
      <c r="I151" s="261"/>
      <c r="J151" s="255" t="s">
        <v>133</v>
      </c>
      <c r="K151" s="174">
        <f>NET_mgn.slb_SEK</f>
        <v>2100</v>
      </c>
      <c r="M151" s="10"/>
    </row>
    <row r="152" spans="2:18" ht="25" customHeight="1">
      <c r="B152" s="145" t="s">
        <v>134</v>
      </c>
      <c r="C152" s="256" t="s">
        <v>135</v>
      </c>
      <c r="D152" s="256"/>
      <c r="E152" s="41"/>
      <c r="F152" s="257"/>
      <c r="G152" s="257"/>
      <c r="H152" s="257"/>
      <c r="I152" s="257"/>
      <c r="J152" s="258" t="s">
        <v>47</v>
      </c>
      <c r="K152" s="179">
        <f>NET_rdns_SEK</f>
        <v>0</v>
      </c>
      <c r="M152" s="10"/>
      <c r="N152" s="183"/>
      <c r="O152" s="54"/>
    </row>
    <row r="153" spans="2:18" ht="25" customHeight="1">
      <c r="B153" s="140" t="s">
        <v>136</v>
      </c>
      <c r="C153" s="254" t="s">
        <v>137</v>
      </c>
      <c r="D153" s="254"/>
      <c r="E153" s="173"/>
      <c r="F153" s="261"/>
      <c r="G153" s="261"/>
      <c r="H153" s="261"/>
      <c r="I153" s="261"/>
      <c r="J153" s="263" t="s">
        <v>47</v>
      </c>
      <c r="K153" s="174">
        <v>0</v>
      </c>
      <c r="M153" s="10"/>
      <c r="N153" s="183"/>
      <c r="O153" s="54"/>
    </row>
    <row r="154" spans="2:18" ht="25" customHeight="1">
      <c r="B154" s="264"/>
      <c r="C154" s="265"/>
      <c r="D154" s="266"/>
      <c r="E154" s="266"/>
      <c r="F154" s="266"/>
      <c r="G154" s="266"/>
      <c r="H154" s="266"/>
      <c r="I154" s="266"/>
      <c r="J154" s="266"/>
      <c r="K154" s="266"/>
      <c r="M154" s="10"/>
      <c r="N154" s="183"/>
      <c r="O154" s="54"/>
    </row>
    <row r="155" spans="2:18" ht="25" customHeight="1">
      <c r="C155" s="268"/>
      <c r="J155" s="268"/>
      <c r="M155" s="10"/>
      <c r="N155" s="183"/>
      <c r="O155" s="54"/>
    </row>
    <row r="156" spans="2:18" ht="25" customHeight="1">
      <c r="C156" s="268"/>
      <c r="J156" s="268"/>
      <c r="M156" s="10"/>
      <c r="N156" s="183"/>
      <c r="O156" s="54"/>
    </row>
    <row r="157" spans="2:18" ht="25" customHeight="1">
      <c r="B157" s="56" t="s">
        <v>138</v>
      </c>
      <c r="C157" s="110"/>
      <c r="D157" s="110"/>
      <c r="E157" s="110"/>
      <c r="F157" s="110"/>
      <c r="G157" s="110"/>
      <c r="H157" s="110"/>
      <c r="I157" s="110"/>
      <c r="J157" s="269"/>
      <c r="M157" s="10"/>
      <c r="N157" s="183"/>
      <c r="O157" s="54"/>
    </row>
    <row r="158" spans="2:18" ht="25" customHeight="1">
      <c r="B158" s="161" t="s">
        <v>139</v>
      </c>
      <c r="K158" s="1"/>
      <c r="M158" s="10"/>
    </row>
    <row r="159" spans="2:18" ht="25" customHeight="1">
      <c r="B159" s="252" t="s">
        <v>11</v>
      </c>
      <c r="C159" s="253"/>
      <c r="D159" s="253"/>
      <c r="E159" s="253" t="s">
        <v>64</v>
      </c>
      <c r="F159" s="163"/>
      <c r="G159" s="163"/>
      <c r="H159" s="163"/>
      <c r="I159" s="163"/>
      <c r="J159" s="253" t="s">
        <v>120</v>
      </c>
      <c r="K159" s="165" t="s">
        <v>121</v>
      </c>
      <c r="M159" s="10"/>
      <c r="N159" s="183"/>
      <c r="O159" s="54"/>
    </row>
    <row r="160" spans="2:18" ht="25" customHeight="1">
      <c r="B160" s="140" t="s">
        <v>140</v>
      </c>
      <c r="C160" s="254"/>
      <c r="D160" s="173"/>
      <c r="E160" s="173" t="s">
        <v>141</v>
      </c>
      <c r="F160" s="173"/>
      <c r="G160" s="173"/>
      <c r="H160" s="173"/>
      <c r="I160" s="173"/>
      <c r="J160" s="255" t="s">
        <v>12</v>
      </c>
      <c r="K160" s="174">
        <f>SW_win.ser.201X_SEK</f>
        <v>175</v>
      </c>
      <c r="L160" s="181"/>
      <c r="M160" s="10"/>
      <c r="N160" s="183"/>
      <c r="O160" s="54"/>
      <c r="Q160" s="41"/>
      <c r="R160" s="41"/>
    </row>
    <row r="161" spans="2:20" s="20" customFormat="1" ht="25" customHeight="1">
      <c r="B161" s="145" t="s">
        <v>142</v>
      </c>
      <c r="C161" s="256"/>
      <c r="D161" s="178"/>
      <c r="E161" s="178" t="s">
        <v>143</v>
      </c>
      <c r="F161" s="257"/>
      <c r="G161" s="257"/>
      <c r="H161" s="257"/>
      <c r="I161" s="257"/>
      <c r="J161" s="262" t="s">
        <v>12</v>
      </c>
      <c r="K161" s="179">
        <f>SW_ms.sql.ser_SEK</f>
        <v>1229</v>
      </c>
      <c r="M161" s="10"/>
      <c r="N161" s="183"/>
      <c r="O161" s="54"/>
    </row>
    <row r="162" spans="2:20" ht="25" customHeight="1">
      <c r="B162" s="140" t="s">
        <v>144</v>
      </c>
      <c r="C162" s="254"/>
      <c r="D162" s="173"/>
      <c r="E162" s="173" t="s">
        <v>145</v>
      </c>
      <c r="F162" s="173"/>
      <c r="G162" s="173"/>
      <c r="H162" s="173"/>
      <c r="I162" s="173"/>
      <c r="J162" s="255" t="s">
        <v>12</v>
      </c>
      <c r="K162" s="174">
        <f>SW_ms.sql.ser.ent_SEK</f>
        <v>4766</v>
      </c>
      <c r="L162" s="181"/>
      <c r="M162" s="10"/>
      <c r="N162" s="183"/>
      <c r="O162" s="54"/>
      <c r="Q162" s="41"/>
      <c r="R162" s="41"/>
    </row>
    <row r="163" spans="2:20" s="20" customFormat="1" ht="25" customHeight="1">
      <c r="B163" s="145" t="s">
        <v>146</v>
      </c>
      <c r="C163" s="256"/>
      <c r="D163" s="178"/>
      <c r="E163" s="178" t="s">
        <v>147</v>
      </c>
      <c r="F163" s="257"/>
      <c r="G163" s="257"/>
      <c r="H163" s="257"/>
      <c r="I163" s="257"/>
      <c r="J163" s="530" t="s">
        <v>477</v>
      </c>
      <c r="K163" s="179">
        <f>SW_nextcloud_SEK</f>
        <v>70</v>
      </c>
      <c r="M163" s="10"/>
      <c r="N163" s="183"/>
      <c r="O163" s="54"/>
    </row>
    <row r="164" spans="2:20" ht="25" customHeight="1">
      <c r="B164" s="270"/>
      <c r="C164" s="271"/>
      <c r="D164" s="279"/>
      <c r="E164" s="272"/>
      <c r="F164" s="273"/>
      <c r="G164" s="273"/>
      <c r="H164" s="273"/>
      <c r="I164" s="273"/>
      <c r="J164" s="274"/>
      <c r="K164" s="275"/>
      <c r="M164" s="10"/>
      <c r="N164" s="183"/>
      <c r="O164" s="54"/>
    </row>
    <row r="165" spans="2:20" ht="25" customHeight="1">
      <c r="B165" s="145"/>
      <c r="C165" s="256"/>
      <c r="D165" s="178"/>
      <c r="E165" s="238"/>
      <c r="F165" s="257"/>
      <c r="G165" s="276"/>
      <c r="H165" s="262"/>
      <c r="I165" s="262"/>
      <c r="M165" s="10"/>
    </row>
    <row r="166" spans="2:20" ht="25" customHeight="1">
      <c r="B166" s="281"/>
      <c r="C166" s="230"/>
      <c r="D166" s="230"/>
      <c r="E166" s="230"/>
      <c r="F166" s="231"/>
      <c r="G166" s="232"/>
      <c r="H166" s="230"/>
      <c r="I166" s="181"/>
      <c r="K166" s="182"/>
      <c r="L166" s="183"/>
      <c r="M166" s="10"/>
      <c r="N166" s="41"/>
      <c r="O166" s="41"/>
    </row>
    <row r="167" spans="2:20" s="20" customFormat="1" ht="25" customHeight="1">
      <c r="B167" s="534" t="s">
        <v>150</v>
      </c>
      <c r="C167" s="534"/>
      <c r="D167" s="534"/>
      <c r="E167" s="534"/>
      <c r="F167" s="534"/>
      <c r="G167" s="534"/>
      <c r="H167" s="282"/>
      <c r="J167" s="40"/>
      <c r="K167" s="38"/>
      <c r="M167" s="10"/>
    </row>
    <row r="168" spans="2:20" s="20" customFormat="1" ht="25" customHeight="1">
      <c r="B168" s="534"/>
      <c r="C168" s="534"/>
      <c r="D168" s="534"/>
      <c r="E168" s="534"/>
      <c r="F168" s="534"/>
      <c r="G168" s="534"/>
      <c r="H168" s="282"/>
      <c r="J168" s="40"/>
      <c r="K168" s="38"/>
      <c r="M168" s="10"/>
    </row>
    <row r="169" spans="2:20" s="20" customFormat="1" ht="25" customHeight="1">
      <c r="B169" s="534"/>
      <c r="C169" s="534"/>
      <c r="D169" s="534"/>
      <c r="E169" s="534"/>
      <c r="F169" s="534"/>
      <c r="G169" s="534"/>
      <c r="H169" s="282"/>
      <c r="J169" s="40"/>
      <c r="K169" s="38"/>
      <c r="M169" s="10"/>
    </row>
    <row r="170" spans="2:20" s="20" customFormat="1" ht="25" customHeight="1">
      <c r="B170" s="548" t="s">
        <v>151</v>
      </c>
      <c r="C170" s="548"/>
      <c r="D170" s="548"/>
      <c r="E170" s="548"/>
      <c r="F170" s="548"/>
      <c r="H170" s="282"/>
      <c r="J170" s="40"/>
      <c r="K170" s="38"/>
      <c r="M170" s="10"/>
    </row>
    <row r="171" spans="2:20" s="20" customFormat="1" ht="25" customHeight="1">
      <c r="B171" s="535" t="s">
        <v>94</v>
      </c>
      <c r="C171" s="535"/>
      <c r="D171" s="535"/>
      <c r="E171" s="535"/>
      <c r="F171" s="535"/>
      <c r="G171" s="45"/>
      <c r="H171" s="46"/>
      <c r="I171" s="45"/>
      <c r="J171" s="47"/>
      <c r="K171" s="48"/>
      <c r="L171" s="45"/>
      <c r="M171" s="10"/>
    </row>
    <row r="172" spans="2:20" s="20" customFormat="1" ht="25" customHeight="1">
      <c r="B172" s="44"/>
      <c r="C172" s="52"/>
      <c r="D172" s="52"/>
      <c r="E172" s="52"/>
      <c r="F172" s="52"/>
      <c r="G172" s="45"/>
      <c r="H172" s="46"/>
      <c r="I172" s="45"/>
      <c r="J172" s="47"/>
      <c r="K172" s="48"/>
      <c r="L172" s="45"/>
      <c r="M172" s="10"/>
    </row>
    <row r="173" spans="2:20" ht="25" customHeight="1">
      <c r="B173" s="56" t="s">
        <v>150</v>
      </c>
      <c r="C173" s="110"/>
      <c r="D173" s="110"/>
      <c r="F173" s="110"/>
      <c r="G173" s="110"/>
      <c r="H173" s="110"/>
      <c r="I173" s="110"/>
      <c r="J173" s="110"/>
      <c r="K173" s="283"/>
      <c r="L173" s="110"/>
      <c r="M173" s="10"/>
      <c r="O173" s="183"/>
      <c r="P173" s="183"/>
      <c r="Q173" s="54"/>
      <c r="S173" s="41"/>
      <c r="T173" s="41"/>
    </row>
    <row r="174" spans="2:20" ht="25" customHeight="1">
      <c r="B174" s="161" t="s">
        <v>152</v>
      </c>
      <c r="M174" s="10"/>
    </row>
    <row r="175" spans="2:20" ht="25" customHeight="1">
      <c r="B175" s="252" t="s">
        <v>11</v>
      </c>
      <c r="C175" s="253"/>
      <c r="D175" s="253" t="s">
        <v>64</v>
      </c>
      <c r="E175" s="107"/>
      <c r="F175" s="163"/>
      <c r="G175" s="66"/>
      <c r="H175" s="66"/>
      <c r="I175" s="253" t="s">
        <v>120</v>
      </c>
      <c r="J175" s="253"/>
      <c r="K175" s="165" t="s">
        <v>109</v>
      </c>
      <c r="L175" s="181"/>
      <c r="M175" s="10"/>
      <c r="N175" s="183"/>
      <c r="O175" s="54"/>
      <c r="Q175" s="41"/>
      <c r="R175" s="41"/>
    </row>
    <row r="176" spans="2:20" ht="25" customHeight="1">
      <c r="B176" s="140" t="s">
        <v>153</v>
      </c>
      <c r="C176" s="254"/>
      <c r="D176" s="173" t="s">
        <v>154</v>
      </c>
      <c r="E176" s="277"/>
      <c r="F176" s="173"/>
      <c r="G176" s="277"/>
      <c r="H176" s="277"/>
      <c r="I176" s="263" t="s">
        <v>47</v>
      </c>
      <c r="J176" s="263"/>
      <c r="K176" s="174">
        <v>0</v>
      </c>
      <c r="L176" s="181"/>
      <c r="M176" s="10"/>
      <c r="N176" s="183"/>
      <c r="O176" s="54"/>
      <c r="Q176" s="41"/>
      <c r="R176" s="41"/>
    </row>
    <row r="177" spans="2:18" ht="25" customHeight="1">
      <c r="B177" s="145" t="s">
        <v>155</v>
      </c>
      <c r="C177" s="256"/>
      <c r="D177" s="178" t="s">
        <v>156</v>
      </c>
      <c r="E177" s="238"/>
      <c r="F177" s="257"/>
      <c r="G177" s="276"/>
      <c r="H177" s="276"/>
      <c r="I177" s="262" t="s">
        <v>157</v>
      </c>
      <c r="J177" s="262"/>
      <c r="K177" s="259" t="s">
        <v>158</v>
      </c>
      <c r="L177" s="181"/>
      <c r="M177" s="10"/>
      <c r="N177" s="183"/>
      <c r="O177" s="54"/>
      <c r="Q177" s="41"/>
      <c r="R177" s="41"/>
    </row>
    <row r="178" spans="2:18" ht="25" customHeight="1">
      <c r="B178" s="140" t="s">
        <v>159</v>
      </c>
      <c r="C178" s="254"/>
      <c r="D178" s="173" t="s">
        <v>160</v>
      </c>
      <c r="E178" s="254"/>
      <c r="F178" s="254"/>
      <c r="G178" s="254"/>
      <c r="H178" s="277"/>
      <c r="I178" s="532" t="s">
        <v>479</v>
      </c>
      <c r="J178" s="255"/>
      <c r="K178" s="531">
        <v>25000</v>
      </c>
      <c r="L178" s="181"/>
      <c r="M178" s="10"/>
      <c r="N178" s="183"/>
      <c r="O178" s="54"/>
      <c r="Q178" s="41"/>
      <c r="R178" s="41"/>
    </row>
    <row r="179" spans="2:18" ht="25" customHeight="1">
      <c r="B179" s="270"/>
      <c r="C179" s="271"/>
      <c r="D179" s="271"/>
      <c r="E179" s="272"/>
      <c r="F179" s="273"/>
      <c r="G179" s="274"/>
      <c r="H179" s="274"/>
      <c r="I179" s="284"/>
      <c r="J179" s="284"/>
      <c r="K179" s="275"/>
      <c r="L179" s="181"/>
      <c r="M179" s="10"/>
      <c r="N179" s="183"/>
      <c r="O179" s="54"/>
      <c r="Q179" s="41"/>
      <c r="R179" s="41"/>
    </row>
    <row r="180" spans="2:18" ht="25" customHeight="1">
      <c r="B180" s="145"/>
      <c r="C180" s="256"/>
      <c r="D180" s="178"/>
      <c r="E180" s="238"/>
      <c r="F180" s="257"/>
      <c r="G180" s="276"/>
      <c r="H180" s="276"/>
      <c r="I180" s="262"/>
      <c r="J180" s="262"/>
      <c r="K180" s="259"/>
      <c r="L180" s="181"/>
      <c r="M180" s="10"/>
      <c r="N180" s="183"/>
      <c r="O180" s="54"/>
      <c r="Q180" s="41"/>
      <c r="R180" s="41"/>
    </row>
    <row r="181" spans="2:18" s="63" customFormat="1" ht="25" hidden="1" customHeight="1">
      <c r="B181" s="56" t="s">
        <v>162</v>
      </c>
      <c r="C181" s="285"/>
      <c r="D181" s="285"/>
      <c r="F181" s="285"/>
      <c r="G181" s="285"/>
      <c r="H181" s="285"/>
      <c r="I181" s="286"/>
      <c r="J181" s="286"/>
      <c r="K181" s="287"/>
      <c r="L181" s="288"/>
      <c r="M181" s="10"/>
      <c r="N181" s="289"/>
      <c r="O181" s="290"/>
      <c r="Q181" s="290"/>
      <c r="R181" s="290"/>
    </row>
    <row r="182" spans="2:18" ht="25" hidden="1" customHeight="1">
      <c r="B182" s="161" t="s">
        <v>163</v>
      </c>
      <c r="M182" s="10"/>
    </row>
    <row r="183" spans="2:18" ht="25" hidden="1" customHeight="1">
      <c r="B183" s="252" t="s">
        <v>11</v>
      </c>
      <c r="C183" s="253"/>
      <c r="D183" s="253" t="s">
        <v>64</v>
      </c>
      <c r="E183" s="107"/>
      <c r="F183" s="163"/>
      <c r="G183" s="66"/>
      <c r="H183" s="66"/>
      <c r="I183" s="253" t="s">
        <v>120</v>
      </c>
      <c r="J183" s="253"/>
      <c r="K183" s="165" t="s">
        <v>109</v>
      </c>
      <c r="L183" s="181"/>
      <c r="M183" s="10"/>
      <c r="N183" s="183"/>
      <c r="O183" s="54"/>
      <c r="Q183" s="41"/>
      <c r="R183" s="41"/>
    </row>
    <row r="184" spans="2:18" ht="25" hidden="1" customHeight="1">
      <c r="B184" s="140" t="s">
        <v>164</v>
      </c>
      <c r="C184" s="254"/>
      <c r="D184" s="173" t="s">
        <v>165</v>
      </c>
      <c r="E184" s="277"/>
      <c r="F184" s="173"/>
      <c r="G184" s="277"/>
      <c r="H184" s="277"/>
      <c r="I184" s="255" t="s">
        <v>161</v>
      </c>
      <c r="J184" s="255"/>
      <c r="K184" s="200">
        <f>PS_consult.jun_SEK</f>
        <v>1127</v>
      </c>
      <c r="L184" s="181"/>
      <c r="M184" s="10"/>
      <c r="N184" s="183"/>
      <c r="O184" s="54"/>
      <c r="Q184" s="41"/>
      <c r="R184" s="41"/>
    </row>
    <row r="185" spans="2:18" ht="25" hidden="1" customHeight="1">
      <c r="B185" s="145" t="s">
        <v>166</v>
      </c>
      <c r="C185" s="256"/>
      <c r="D185" s="178" t="s">
        <v>167</v>
      </c>
      <c r="E185" s="238"/>
      <c r="F185" s="257"/>
      <c r="G185" s="276"/>
      <c r="H185" s="276"/>
      <c r="I185" s="262" t="s">
        <v>161</v>
      </c>
      <c r="J185" s="262"/>
      <c r="K185" s="278">
        <f>PS_consult.sen_SEK</f>
        <v>1374</v>
      </c>
      <c r="L185" s="181"/>
      <c r="M185" s="10"/>
      <c r="N185" s="183"/>
      <c r="O185" s="54"/>
      <c r="Q185" s="41"/>
      <c r="R185" s="41"/>
    </row>
    <row r="186" spans="2:18" ht="25" hidden="1" customHeight="1">
      <c r="B186" s="140" t="s">
        <v>168</v>
      </c>
      <c r="C186" s="254"/>
      <c r="D186" s="173" t="s">
        <v>169</v>
      </c>
      <c r="E186" s="277"/>
      <c r="F186" s="173"/>
      <c r="G186" s="277"/>
      <c r="H186" s="277"/>
      <c r="I186" s="255" t="s">
        <v>161</v>
      </c>
      <c r="J186" s="255"/>
      <c r="K186" s="200">
        <f>PS_cloudarch.jun_SEK</f>
        <v>1277</v>
      </c>
      <c r="L186" s="181"/>
      <c r="M186" s="10"/>
      <c r="N186" s="183"/>
      <c r="O186" s="54"/>
      <c r="Q186" s="41"/>
      <c r="R186" s="41"/>
    </row>
    <row r="187" spans="2:18" ht="25" hidden="1" customHeight="1">
      <c r="B187" s="145" t="s">
        <v>170</v>
      </c>
      <c r="C187" s="256"/>
      <c r="D187" s="178" t="s">
        <v>171</v>
      </c>
      <c r="E187" s="178"/>
      <c r="F187" s="178"/>
      <c r="G187" s="276"/>
      <c r="H187" s="276"/>
      <c r="I187" s="262" t="s">
        <v>161</v>
      </c>
      <c r="J187" s="262"/>
      <c r="K187" s="278">
        <f>PS_cloudarch.sen_SEK</f>
        <v>1374</v>
      </c>
      <c r="L187" s="181"/>
      <c r="M187" s="10"/>
      <c r="N187" s="183"/>
      <c r="O187" s="54"/>
      <c r="Q187" s="41"/>
      <c r="R187" s="41"/>
    </row>
    <row r="188" spans="2:18" ht="25" hidden="1" customHeight="1">
      <c r="B188" s="140" t="s">
        <v>172</v>
      </c>
      <c r="C188" s="254"/>
      <c r="D188" s="173" t="s">
        <v>173</v>
      </c>
      <c r="E188" s="277"/>
      <c r="F188" s="173"/>
      <c r="G188" s="277"/>
      <c r="H188" s="277"/>
      <c r="I188" s="255" t="s">
        <v>161</v>
      </c>
      <c r="J188" s="255"/>
      <c r="K188" s="200">
        <f>PS_pm.jun_SEK</f>
        <v>1139</v>
      </c>
      <c r="L188" s="181"/>
      <c r="M188" s="10"/>
      <c r="N188" s="183"/>
      <c r="O188" s="54"/>
      <c r="Q188" s="41"/>
      <c r="R188" s="41"/>
    </row>
    <row r="189" spans="2:18" ht="25" hidden="1" customHeight="1">
      <c r="B189" s="145" t="s">
        <v>174</v>
      </c>
      <c r="C189" s="256"/>
      <c r="D189" s="178" t="s">
        <v>175</v>
      </c>
      <c r="E189" s="238"/>
      <c r="F189" s="257"/>
      <c r="G189" s="276"/>
      <c r="H189" s="276"/>
      <c r="I189" s="262" t="s">
        <v>161</v>
      </c>
      <c r="J189" s="262"/>
      <c r="K189" s="278">
        <f>PS_pm.sen_SEK</f>
        <v>1374</v>
      </c>
      <c r="L189" s="181"/>
      <c r="M189" s="10"/>
      <c r="N189" s="183"/>
      <c r="O189" s="54"/>
      <c r="Q189" s="41"/>
      <c r="R189" s="41"/>
    </row>
    <row r="190" spans="2:18" ht="25" hidden="1" customHeight="1">
      <c r="B190" s="270"/>
      <c r="C190" s="271"/>
      <c r="D190" s="279"/>
      <c r="E190" s="272"/>
      <c r="F190" s="273"/>
      <c r="G190" s="274"/>
      <c r="H190" s="274"/>
      <c r="I190" s="284"/>
      <c r="J190" s="284"/>
      <c r="K190" s="275"/>
      <c r="L190" s="181"/>
      <c r="M190" s="10"/>
      <c r="N190" s="183"/>
      <c r="O190" s="54"/>
      <c r="Q190" s="41"/>
      <c r="R190" s="41"/>
    </row>
    <row r="191" spans="2:18" ht="25" hidden="1" customHeight="1">
      <c r="B191" s="145"/>
      <c r="C191" s="256"/>
      <c r="D191" s="178"/>
      <c r="E191" s="238"/>
      <c r="F191" s="257"/>
      <c r="G191" s="276"/>
      <c r="H191" s="276"/>
      <c r="I191" s="262"/>
      <c r="J191" s="262"/>
      <c r="K191" s="259"/>
      <c r="M191" s="10"/>
      <c r="N191" s="183"/>
      <c r="O191" s="54"/>
    </row>
    <row r="192" spans="2:18" ht="25" customHeight="1">
      <c r="B192" s="56" t="s">
        <v>176</v>
      </c>
      <c r="C192" s="110"/>
      <c r="D192" s="110"/>
      <c r="F192" s="110"/>
      <c r="G192" s="110"/>
      <c r="H192" s="110"/>
      <c r="I192" s="269"/>
      <c r="J192" s="269"/>
      <c r="L192" s="181"/>
      <c r="M192" s="10"/>
      <c r="N192" s="183"/>
      <c r="O192" s="54"/>
      <c r="Q192" s="41"/>
      <c r="R192" s="41"/>
    </row>
    <row r="193" spans="1:18" ht="25" customHeight="1">
      <c r="B193" s="161" t="s">
        <v>177</v>
      </c>
      <c r="M193" s="10"/>
    </row>
    <row r="194" spans="1:18" ht="25" customHeight="1">
      <c r="B194" s="252" t="s">
        <v>11</v>
      </c>
      <c r="C194" s="253"/>
      <c r="D194" s="253" t="s">
        <v>64</v>
      </c>
      <c r="E194" s="107"/>
      <c r="F194" s="163"/>
      <c r="G194" s="253" t="s">
        <v>178</v>
      </c>
      <c r="H194" s="253"/>
      <c r="I194" s="253" t="s">
        <v>120</v>
      </c>
      <c r="J194" s="253"/>
      <c r="K194" s="165" t="s">
        <v>109</v>
      </c>
      <c r="L194" s="181"/>
      <c r="M194" s="10"/>
      <c r="N194" s="183"/>
      <c r="O194" s="54"/>
      <c r="Q194" s="41"/>
      <c r="R194" s="41"/>
    </row>
    <row r="195" spans="1:18" ht="25" customHeight="1">
      <c r="B195" s="140" t="s">
        <v>179</v>
      </c>
      <c r="C195" s="254"/>
      <c r="D195" s="173" t="s">
        <v>180</v>
      </c>
      <c r="E195" s="277"/>
      <c r="F195" s="173"/>
      <c r="G195" s="255" t="s">
        <v>181</v>
      </c>
      <c r="H195" s="255"/>
      <c r="I195" s="255" t="s">
        <v>182</v>
      </c>
      <c r="J195" s="255"/>
      <c r="K195" s="174">
        <v>6500</v>
      </c>
      <c r="L195" s="181"/>
      <c r="M195" s="10"/>
      <c r="N195" s="183"/>
      <c r="O195" s="54"/>
      <c r="Q195" s="41"/>
      <c r="R195" s="41"/>
    </row>
    <row r="196" spans="1:18" ht="25" customHeight="1">
      <c r="B196" s="145" t="s">
        <v>183</v>
      </c>
      <c r="C196" s="256"/>
      <c r="D196" s="178" t="s">
        <v>184</v>
      </c>
      <c r="E196" s="238"/>
      <c r="F196" s="257"/>
      <c r="G196" s="262" t="s">
        <v>181</v>
      </c>
      <c r="H196" s="262"/>
      <c r="I196" s="262" t="s">
        <v>182</v>
      </c>
      <c r="J196" s="262"/>
      <c r="K196" s="179">
        <v>6500</v>
      </c>
      <c r="L196" s="181"/>
      <c r="M196" s="10"/>
      <c r="N196" s="183"/>
      <c r="O196" s="54"/>
      <c r="Q196" s="41"/>
      <c r="R196" s="41"/>
    </row>
    <row r="197" spans="1:18" ht="25" customHeight="1">
      <c r="B197" s="140" t="s">
        <v>185</v>
      </c>
      <c r="C197" s="254"/>
      <c r="D197" s="173" t="s">
        <v>186</v>
      </c>
      <c r="E197" s="277"/>
      <c r="F197" s="173"/>
      <c r="G197" s="255" t="s">
        <v>187</v>
      </c>
      <c r="H197" s="255"/>
      <c r="I197" s="255" t="s">
        <v>182</v>
      </c>
      <c r="J197" s="255"/>
      <c r="K197" s="531">
        <v>26000</v>
      </c>
      <c r="L197" s="181"/>
      <c r="M197" s="10"/>
      <c r="N197" s="183"/>
      <c r="O197" s="54"/>
      <c r="Q197" s="41"/>
      <c r="R197" s="41"/>
    </row>
    <row r="198" spans="1:18" ht="25" customHeight="1">
      <c r="B198" s="145" t="s">
        <v>188</v>
      </c>
      <c r="C198" s="256"/>
      <c r="D198" s="178" t="s">
        <v>189</v>
      </c>
      <c r="E198" s="238"/>
      <c r="F198" s="257"/>
      <c r="G198" s="262" t="s">
        <v>187</v>
      </c>
      <c r="H198" s="262"/>
      <c r="I198" s="262" t="s">
        <v>182</v>
      </c>
      <c r="J198" s="262"/>
      <c r="K198" s="179">
        <v>26000</v>
      </c>
      <c r="L198" s="181"/>
      <c r="M198" s="10"/>
      <c r="N198" s="183"/>
      <c r="O198" s="54"/>
      <c r="Q198" s="41"/>
      <c r="R198" s="41"/>
    </row>
    <row r="199" spans="1:18" ht="25" customHeight="1">
      <c r="B199" s="270"/>
      <c r="C199" s="271"/>
      <c r="D199" s="279"/>
      <c r="E199" s="272"/>
      <c r="F199" s="273"/>
      <c r="G199" s="274"/>
      <c r="H199" s="274"/>
      <c r="I199" s="274"/>
      <c r="J199" s="274"/>
      <c r="K199" s="275"/>
      <c r="L199" s="181"/>
      <c r="M199" s="10"/>
      <c r="N199" s="183"/>
      <c r="O199" s="54"/>
      <c r="Q199" s="41"/>
      <c r="R199" s="41"/>
    </row>
    <row r="200" spans="1:18" ht="25" customHeight="1">
      <c r="B200" s="281"/>
      <c r="C200" s="230"/>
      <c r="D200" s="230"/>
      <c r="E200" s="230"/>
      <c r="F200" s="231"/>
      <c r="G200" s="232"/>
      <c r="H200" s="181"/>
      <c r="I200" s="181"/>
      <c r="J200" s="181"/>
      <c r="K200" s="184"/>
      <c r="L200" s="183"/>
      <c r="M200" s="10"/>
      <c r="N200" s="41"/>
      <c r="O200" s="41"/>
    </row>
    <row r="201" spans="1:18" ht="25" customHeight="1">
      <c r="A201" s="234"/>
      <c r="B201" s="291"/>
      <c r="C201" s="292"/>
      <c r="D201" s="292"/>
      <c r="E201" s="292"/>
      <c r="F201" s="293"/>
      <c r="G201" s="294"/>
      <c r="H201" s="295"/>
      <c r="I201" s="295"/>
      <c r="J201" s="296"/>
      <c r="K201" s="297"/>
      <c r="L201" s="298"/>
      <c r="M201" s="10"/>
      <c r="N201" s="41"/>
      <c r="O201" s="41"/>
    </row>
    <row r="202" spans="1:18" s="20" customFormat="1" ht="25" customHeight="1">
      <c r="A202" s="21"/>
      <c r="B202" s="299"/>
      <c r="C202" s="300"/>
      <c r="D202" s="300"/>
      <c r="E202" s="300"/>
      <c r="F202" s="301"/>
      <c r="G202" s="302"/>
      <c r="H202" s="303"/>
      <c r="I202" s="303"/>
      <c r="J202" s="304"/>
      <c r="K202" s="305"/>
      <c r="L202" s="21"/>
      <c r="M202" s="10"/>
    </row>
    <row r="203" spans="1:18" s="20" customFormat="1" ht="25" customHeight="1">
      <c r="A203" s="21"/>
      <c r="B203" s="299"/>
      <c r="C203" s="300"/>
      <c r="D203" s="300"/>
      <c r="E203" s="300"/>
      <c r="F203" s="301"/>
      <c r="G203" s="302"/>
      <c r="H203" s="303"/>
      <c r="I203" s="303"/>
      <c r="J203" s="304"/>
      <c r="K203" s="305"/>
      <c r="L203" s="21"/>
      <c r="M203" s="10"/>
    </row>
    <row r="204" spans="1:18" s="20" customFormat="1" ht="25" customHeight="1">
      <c r="A204" s="21"/>
      <c r="B204" s="299"/>
      <c r="C204" s="300"/>
      <c r="D204" s="300"/>
      <c r="E204" s="300"/>
      <c r="F204" s="301"/>
      <c r="G204" s="302"/>
      <c r="H204" s="303"/>
      <c r="I204" s="303"/>
      <c r="J204" s="304"/>
      <c r="K204" s="305"/>
      <c r="L204" s="21"/>
      <c r="M204" s="10"/>
    </row>
    <row r="205" spans="1:18" s="20" customFormat="1" ht="25" customHeight="1">
      <c r="A205" s="21"/>
      <c r="B205" s="549" t="s">
        <v>190</v>
      </c>
      <c r="C205" s="549"/>
      <c r="D205" s="549"/>
      <c r="E205" s="549"/>
      <c r="F205" s="549"/>
      <c r="G205" s="549"/>
      <c r="H205" s="25"/>
      <c r="I205" s="134"/>
      <c r="J205" s="21"/>
      <c r="K205" s="26"/>
      <c r="L205" s="21"/>
      <c r="M205" s="10"/>
    </row>
    <row r="206" spans="1:18" s="20" customFormat="1" ht="25" customHeight="1">
      <c r="A206" s="21"/>
      <c r="B206" s="549"/>
      <c r="C206" s="549"/>
      <c r="D206" s="549"/>
      <c r="E206" s="549"/>
      <c r="F206" s="549"/>
      <c r="G206" s="549"/>
      <c r="H206" s="25"/>
      <c r="I206" s="134"/>
      <c r="J206" s="21"/>
      <c r="K206" s="26"/>
      <c r="L206" s="21"/>
      <c r="M206" s="10"/>
    </row>
    <row r="207" spans="1:18" s="20" customFormat="1" ht="25" customHeight="1">
      <c r="A207" s="21"/>
      <c r="B207" s="549"/>
      <c r="C207" s="549"/>
      <c r="D207" s="549"/>
      <c r="E207" s="549"/>
      <c r="F207" s="549"/>
      <c r="G207" s="549"/>
      <c r="H207" s="25"/>
      <c r="I207" s="134"/>
      <c r="J207" s="21"/>
      <c r="K207" s="26"/>
      <c r="L207" s="21"/>
      <c r="M207" s="10"/>
    </row>
    <row r="208" spans="1:18" s="20" customFormat="1" ht="25" customHeight="1">
      <c r="A208" s="21"/>
      <c r="B208" s="550" t="s">
        <v>94</v>
      </c>
      <c r="C208" s="550"/>
      <c r="D208" s="550"/>
      <c r="E208" s="550"/>
      <c r="F208" s="550"/>
      <c r="G208" s="21"/>
      <c r="H208" s="25"/>
      <c r="I208" s="134"/>
      <c r="J208" s="21"/>
      <c r="K208" s="26"/>
      <c r="L208" s="307"/>
      <c r="M208" s="10"/>
    </row>
    <row r="209" spans="1:20" s="20" customFormat="1" ht="25" customHeight="1">
      <c r="A209" s="21"/>
      <c r="B209" s="22"/>
      <c r="C209" s="23"/>
      <c r="D209" s="23"/>
      <c r="E209" s="23"/>
      <c r="F209" s="23"/>
      <c r="G209" s="21"/>
      <c r="H209" s="25"/>
      <c r="I209" s="134"/>
      <c r="J209" s="21"/>
      <c r="K209" s="26"/>
      <c r="L209" s="307"/>
      <c r="M209" s="10"/>
    </row>
    <row r="210" spans="1:20" s="20" customFormat="1" ht="25" customHeight="1">
      <c r="A210" s="21"/>
      <c r="B210" s="15" t="s">
        <v>191</v>
      </c>
      <c r="C210" s="23"/>
      <c r="D210" s="23"/>
      <c r="E210" s="23"/>
      <c r="F210" s="23"/>
      <c r="G210" s="21"/>
      <c r="H210" s="25"/>
      <c r="I210" s="134"/>
      <c r="J210" s="21"/>
      <c r="K210" s="26"/>
      <c r="L210" s="307"/>
      <c r="M210" s="10"/>
    </row>
    <row r="211" spans="1:20" s="20" customFormat="1" ht="25" customHeight="1">
      <c r="A211" s="21"/>
      <c r="B211" s="17" t="s">
        <v>3</v>
      </c>
      <c r="C211" s="23"/>
      <c r="D211" s="23"/>
      <c r="E211" s="23"/>
      <c r="F211" s="23"/>
      <c r="G211" s="21"/>
      <c r="H211" s="25"/>
      <c r="I211" s="21"/>
      <c r="J211" s="27"/>
      <c r="K211" s="26"/>
      <c r="L211" s="307"/>
      <c r="M211" s="10"/>
    </row>
    <row r="212" spans="1:20" s="20" customFormat="1" ht="25" customHeight="1">
      <c r="A212" s="21"/>
      <c r="B212" s="18" t="s">
        <v>4</v>
      </c>
      <c r="C212" s="308"/>
      <c r="D212" s="308"/>
      <c r="E212" s="308"/>
      <c r="F212" s="308"/>
      <c r="G212" s="307"/>
      <c r="H212" s="309"/>
      <c r="I212" s="307"/>
      <c r="J212" s="310"/>
      <c r="K212" s="311"/>
      <c r="L212" s="307"/>
      <c r="M212" s="10"/>
    </row>
    <row r="213" spans="1:20" s="127" customFormat="1" ht="25" customHeight="1">
      <c r="A213" s="312"/>
      <c r="B213" s="306"/>
      <c r="C213" s="313"/>
      <c r="D213" s="313"/>
      <c r="E213" s="313"/>
      <c r="F213" s="313"/>
      <c r="G213" s="307"/>
      <c r="H213" s="309"/>
      <c r="I213" s="307"/>
      <c r="J213" s="310"/>
      <c r="K213" s="311"/>
      <c r="L213" s="312"/>
      <c r="M213" s="10"/>
      <c r="N213" s="314"/>
      <c r="O213" s="162"/>
      <c r="P213" s="162"/>
      <c r="Q213" s="162"/>
      <c r="R213" s="162"/>
      <c r="S213" s="162"/>
      <c r="T213" s="162"/>
    </row>
    <row r="214" spans="1:20" ht="25" customHeight="1">
      <c r="A214" s="5"/>
      <c r="B214" s="315" t="s">
        <v>192</v>
      </c>
      <c r="C214" s="316"/>
      <c r="D214" s="317"/>
      <c r="E214" s="316"/>
      <c r="F214" s="318"/>
      <c r="G214" s="318"/>
      <c r="H214" s="318"/>
      <c r="I214" s="316"/>
      <c r="J214" s="318" t="s">
        <v>190</v>
      </c>
      <c r="K214" s="319"/>
      <c r="L214" s="320"/>
      <c r="M214" s="10"/>
      <c r="N214" s="246"/>
    </row>
    <row r="215" spans="1:20" ht="25" customHeight="1">
      <c r="A215" s="5"/>
      <c r="B215" s="321" t="s">
        <v>193</v>
      </c>
      <c r="C215" s="322" t="str">
        <f t="array" ref="C215">SUM(I26:I37*C26:C37)+SUM(I47:I56*b2_list_Antal_instanser)+SUM(I62:I65*C62:C65)+SUM(I72:I74*C72:C74)&amp;" vCPU"&amp;"     /     "&amp;SUM(I26:I37*E26)+SUM(b2_list_vCPU*b2_list_ram)+SUM(I62:I65*D62:D65)+SUM(I72:I74*D72:D74)&amp;" GB RAM"&amp;"     /     "&amp;SUM(I26:I37*E26:E37)+SUM(b2_list_vCPU*E47:E56)+SUM(I62:I65*E62:E65)+SUM(I72:I74*E72:E74)&amp;" GB  NVMe"&amp;"     /     "&amp;SUM(I81:I83)&amp;" GB Blocklagring"</f>
        <v>0 vCPU     /     0 GB RAM     /     0 GB  NVMe     /     0 GB Blocklagring</v>
      </c>
      <c r="D215" s="323"/>
      <c r="E215" s="322"/>
      <c r="F215" s="322"/>
      <c r="G215" s="324"/>
      <c r="H215" s="325"/>
      <c r="I215" s="323"/>
      <c r="J215" s="326">
        <f>K66+K75+K57+K40+K84</f>
        <v>0</v>
      </c>
      <c r="K215" s="174"/>
      <c r="L215" s="5"/>
      <c r="M215" s="10"/>
      <c r="N215" s="246"/>
    </row>
    <row r="216" spans="1:20" ht="25" customHeight="1">
      <c r="A216" s="5"/>
      <c r="B216" s="327" t="s">
        <v>194</v>
      </c>
      <c r="C216" s="328" t="str">
        <f>K96&amp;" TB - Storage"&amp;"     /     "&amp;K95&amp;" TB - Archive"</f>
        <v>0 TB - Storage     /     0 TB - Archive</v>
      </c>
      <c r="D216" s="329"/>
      <c r="E216" s="329"/>
      <c r="F216" s="330"/>
      <c r="G216" s="331"/>
      <c r="H216" s="331"/>
      <c r="I216" s="332"/>
      <c r="J216" s="333">
        <f>K97</f>
        <v>0</v>
      </c>
      <c r="K216" s="174"/>
      <c r="L216" s="5"/>
      <c r="M216" s="10"/>
      <c r="N216" s="246"/>
    </row>
    <row r="217" spans="1:20" ht="25" customHeight="1">
      <c r="A217" s="5"/>
      <c r="B217" s="327" t="s">
        <v>195</v>
      </c>
      <c r="C217" s="334"/>
      <c r="D217" s="335"/>
      <c r="E217" s="336"/>
      <c r="F217" s="330"/>
      <c r="G217" s="331"/>
      <c r="H217" s="331"/>
      <c r="I217" s="332"/>
      <c r="J217" s="333">
        <f>K121</f>
        <v>0</v>
      </c>
      <c r="K217" s="174"/>
      <c r="L217" s="5"/>
      <c r="M217" s="10"/>
      <c r="N217" s="246"/>
    </row>
    <row r="218" spans="1:20" s="337" customFormat="1" ht="25" customHeight="1">
      <c r="A218" s="338"/>
      <c r="B218" s="339" t="s">
        <v>33</v>
      </c>
      <c r="C218" s="340"/>
      <c r="D218" s="340"/>
      <c r="E218" s="340"/>
      <c r="F218" s="340"/>
      <c r="G218" s="340"/>
      <c r="H218" s="340"/>
      <c r="I218" s="340"/>
      <c r="J218" s="341">
        <f>SUM(J215:J217)</f>
        <v>0</v>
      </c>
      <c r="K218" s="342"/>
      <c r="L218" s="338"/>
      <c r="M218" s="10"/>
    </row>
    <row r="219" spans="1:20" ht="25" customHeight="1">
      <c r="A219" s="5"/>
      <c r="B219" s="343"/>
      <c r="C219" s="344"/>
      <c r="D219" s="344"/>
      <c r="E219" s="344"/>
      <c r="F219" s="345"/>
      <c r="G219" s="346"/>
      <c r="H219" s="346"/>
      <c r="I219" s="347"/>
      <c r="J219" s="347"/>
      <c r="K219" s="348"/>
      <c r="L219" s="5"/>
      <c r="M219" s="10"/>
    </row>
    <row r="220" spans="1:20" ht="25" customHeight="1">
      <c r="A220" s="5"/>
      <c r="B220" s="14"/>
      <c r="C220" s="173"/>
      <c r="D220" s="349"/>
      <c r="E220" s="261"/>
      <c r="F220" s="277"/>
      <c r="G220" s="350"/>
      <c r="H220" s="173"/>
      <c r="I220" s="351"/>
      <c r="J220" s="352"/>
      <c r="K220" s="174"/>
      <c r="L220" s="5"/>
      <c r="M220" s="10"/>
    </row>
    <row r="221" spans="1:20" ht="25" customHeight="1">
      <c r="A221" s="353"/>
      <c r="B221" s="354"/>
      <c r="C221" s="212"/>
      <c r="D221" s="242"/>
      <c r="E221" s="355"/>
      <c r="F221" s="356"/>
      <c r="G221" s="357"/>
      <c r="H221" s="212"/>
      <c r="I221" s="358"/>
      <c r="J221" s="359"/>
      <c r="K221" s="214"/>
      <c r="L221" s="360"/>
      <c r="M221" s="10"/>
    </row>
    <row r="222" spans="1:20" s="361" customFormat="1" ht="25" customHeight="1">
      <c r="B222" s="362"/>
      <c r="C222" s="363"/>
      <c r="D222" s="364"/>
      <c r="E222" s="365"/>
      <c r="F222" s="366"/>
      <c r="G222" s="367"/>
      <c r="H222" s="363"/>
      <c r="I222" s="368"/>
      <c r="J222" s="369"/>
      <c r="K222" s="370"/>
    </row>
    <row r="223" spans="1:20" s="361" customFormat="1" ht="25" customHeight="1">
      <c r="B223" s="371" t="s">
        <v>196</v>
      </c>
      <c r="C223" s="363"/>
      <c r="D223" s="363"/>
      <c r="E223" s="363"/>
      <c r="F223" s="372"/>
      <c r="G223" s="373"/>
      <c r="H223" s="374"/>
      <c r="I223" s="374"/>
      <c r="J223" s="374"/>
      <c r="K223" s="375"/>
      <c r="L223" s="369"/>
      <c r="M223" s="369"/>
      <c r="N223" s="369"/>
    </row>
    <row r="224" spans="1:20" s="361" customFormat="1" ht="25" customHeight="1">
      <c r="B224" s="371" t="s">
        <v>197</v>
      </c>
      <c r="C224" s="363"/>
      <c r="D224" s="363"/>
      <c r="E224" s="363"/>
      <c r="F224" s="372"/>
      <c r="G224" s="373"/>
      <c r="H224" s="374"/>
      <c r="I224" s="374"/>
      <c r="J224" s="374"/>
      <c r="K224" s="375"/>
      <c r="L224" s="369"/>
      <c r="M224" s="369"/>
      <c r="N224" s="369"/>
    </row>
    <row r="225" spans="1:23" s="361" customFormat="1" ht="25" customHeight="1">
      <c r="B225" s="376" t="s">
        <v>198</v>
      </c>
      <c r="C225" s="363"/>
      <c r="D225" s="363"/>
      <c r="E225" s="363"/>
      <c r="F225" s="372"/>
      <c r="G225" s="373"/>
      <c r="H225" s="374"/>
      <c r="I225" s="374"/>
      <c r="J225" s="374"/>
      <c r="K225" s="375"/>
      <c r="L225" s="369"/>
      <c r="M225" s="369"/>
      <c r="N225" s="369"/>
    </row>
    <row r="226" spans="1:23" s="361" customFormat="1" ht="25" customHeight="1">
      <c r="B226" s="371" t="s">
        <v>199</v>
      </c>
      <c r="C226" s="363"/>
      <c r="D226" s="363"/>
      <c r="E226" s="363"/>
      <c r="F226" s="372"/>
      <c r="G226" s="373"/>
      <c r="H226" s="374"/>
      <c r="I226" s="374"/>
      <c r="J226" s="374"/>
      <c r="K226" s="375"/>
      <c r="L226" s="369"/>
      <c r="M226" s="369"/>
      <c r="N226" s="369"/>
    </row>
    <row r="227" spans="1:23" s="361" customFormat="1" ht="25" customHeight="1">
      <c r="B227" s="371" t="s">
        <v>200</v>
      </c>
      <c r="C227" s="363"/>
      <c r="D227" s="363"/>
      <c r="E227" s="363"/>
      <c r="F227" s="372"/>
      <c r="G227" s="373"/>
      <c r="H227" s="374"/>
      <c r="I227" s="374"/>
      <c r="J227" s="374"/>
      <c r="K227" s="375"/>
      <c r="L227" s="369"/>
      <c r="M227" s="369"/>
      <c r="N227" s="369"/>
    </row>
    <row r="228" spans="1:23" s="361" customFormat="1" ht="25" customHeight="1">
      <c r="B228" s="362"/>
      <c r="C228" s="363"/>
      <c r="D228" s="363"/>
      <c r="E228" s="363"/>
      <c r="F228" s="372"/>
      <c r="G228" s="373"/>
      <c r="H228" s="374"/>
      <c r="I228" s="374"/>
      <c r="J228" s="374"/>
      <c r="K228" s="375"/>
      <c r="L228" s="369"/>
      <c r="M228" s="369"/>
      <c r="N228" s="369"/>
    </row>
    <row r="229" spans="1:23" s="361" customFormat="1" ht="25" customHeight="1">
      <c r="B229" s="362"/>
      <c r="C229" s="363"/>
      <c r="D229" s="363"/>
      <c r="E229" s="363"/>
      <c r="F229" s="372"/>
      <c r="G229" s="373"/>
      <c r="H229" s="374"/>
      <c r="I229" s="374"/>
      <c r="J229" s="374"/>
      <c r="K229" s="375"/>
      <c r="L229" s="369"/>
      <c r="M229" s="369"/>
      <c r="N229" s="369"/>
    </row>
    <row r="230" spans="1:23" s="361" customFormat="1" ht="25" customHeight="1">
      <c r="B230" s="362"/>
      <c r="C230" s="363"/>
      <c r="D230" s="363"/>
      <c r="E230" s="363"/>
      <c r="F230" s="372"/>
      <c r="G230" s="373"/>
      <c r="H230" s="374"/>
      <c r="I230" s="374"/>
      <c r="J230" s="374"/>
      <c r="K230" s="375"/>
      <c r="L230" s="369"/>
      <c r="M230" s="369"/>
      <c r="N230" s="369"/>
    </row>
    <row r="231" spans="1:23" s="361" customFormat="1" ht="25" customHeight="1">
      <c r="B231" s="362"/>
      <c r="C231" s="363"/>
      <c r="D231" s="363"/>
      <c r="E231" s="363"/>
      <c r="F231" s="372"/>
      <c r="G231" s="373"/>
      <c r="H231" s="374"/>
      <c r="I231" s="374"/>
      <c r="J231" s="374"/>
      <c r="K231" s="375"/>
      <c r="L231" s="369"/>
      <c r="M231" s="369"/>
      <c r="N231" s="369"/>
    </row>
    <row r="232" spans="1:23" s="377" customFormat="1" ht="25" customHeight="1">
      <c r="A232" s="361"/>
      <c r="B232" s="362"/>
      <c r="C232" s="363"/>
      <c r="D232" s="363"/>
      <c r="E232" s="363"/>
      <c r="F232" s="372"/>
      <c r="G232" s="373"/>
      <c r="H232" s="374"/>
      <c r="I232" s="374"/>
      <c r="J232" s="374"/>
      <c r="K232" s="375"/>
      <c r="L232" s="369"/>
      <c r="M232" s="369"/>
      <c r="N232" s="369"/>
      <c r="O232" s="361"/>
      <c r="P232" s="361"/>
      <c r="Q232" s="361"/>
      <c r="R232" s="361"/>
      <c r="S232" s="361"/>
      <c r="T232" s="361"/>
      <c r="U232" s="361"/>
      <c r="V232" s="361"/>
      <c r="W232" s="361"/>
    </row>
    <row r="233" spans="1:23" s="361" customFormat="1" ht="25" customHeight="1">
      <c r="B233" s="362"/>
      <c r="C233" s="363"/>
      <c r="D233" s="363"/>
      <c r="E233" s="363"/>
      <c r="F233" s="372"/>
      <c r="G233" s="373"/>
      <c r="H233" s="374"/>
      <c r="I233" s="374"/>
      <c r="J233" s="374"/>
      <c r="K233" s="375"/>
      <c r="L233" s="369"/>
      <c r="M233" s="369"/>
      <c r="N233" s="369"/>
    </row>
    <row r="234" spans="1:23" s="361" customFormat="1" ht="25" customHeight="1">
      <c r="B234" s="362"/>
      <c r="C234" s="363"/>
      <c r="D234" s="363"/>
      <c r="E234" s="363"/>
      <c r="F234" s="372"/>
      <c r="G234" s="373"/>
      <c r="H234" s="374"/>
      <c r="I234" s="374"/>
      <c r="J234" s="374"/>
      <c r="K234" s="375"/>
      <c r="L234" s="369"/>
      <c r="M234" s="369"/>
      <c r="N234" s="369"/>
    </row>
    <row r="235" spans="1:23" s="361" customFormat="1" ht="25" customHeight="1">
      <c r="B235" s="362"/>
      <c r="C235" s="363"/>
      <c r="D235" s="363"/>
      <c r="E235" s="363"/>
      <c r="F235" s="372"/>
      <c r="G235" s="373"/>
      <c r="H235" s="374"/>
      <c r="I235" s="374"/>
      <c r="J235" s="374"/>
      <c r="K235" s="375"/>
      <c r="L235" s="369"/>
      <c r="M235" s="369"/>
      <c r="N235" s="369"/>
    </row>
    <row r="236" spans="1:23" s="361" customFormat="1" ht="25" customHeight="1">
      <c r="B236" s="362"/>
      <c r="C236" s="363"/>
      <c r="D236" s="363"/>
      <c r="E236" s="363"/>
      <c r="F236" s="372"/>
      <c r="G236" s="373"/>
      <c r="H236" s="374"/>
      <c r="I236" s="374"/>
      <c r="J236" s="374"/>
      <c r="K236" s="375"/>
      <c r="L236" s="369"/>
      <c r="M236" s="369"/>
      <c r="N236" s="369"/>
    </row>
    <row r="237" spans="1:23" s="361" customFormat="1" ht="25" customHeight="1">
      <c r="B237" s="362"/>
      <c r="C237" s="363"/>
      <c r="D237" s="363"/>
      <c r="E237" s="363"/>
      <c r="F237" s="372"/>
      <c r="G237" s="373"/>
      <c r="H237" s="374"/>
      <c r="I237" s="374"/>
      <c r="J237" s="374"/>
      <c r="K237" s="375"/>
      <c r="L237" s="369"/>
      <c r="M237" s="369"/>
      <c r="N237" s="369"/>
    </row>
    <row r="238" spans="1:23" s="361" customFormat="1" ht="25" customHeight="1">
      <c r="B238" s="362"/>
      <c r="C238" s="363"/>
      <c r="D238" s="363"/>
      <c r="E238" s="363"/>
      <c r="F238" s="372"/>
      <c r="G238" s="373"/>
      <c r="H238" s="374"/>
      <c r="I238" s="374"/>
      <c r="J238" s="374"/>
      <c r="K238" s="375"/>
      <c r="L238" s="369"/>
      <c r="M238" s="369"/>
      <c r="N238" s="369"/>
    </row>
    <row r="239" spans="1:23" s="361" customFormat="1" ht="25" customHeight="1">
      <c r="B239" s="362"/>
      <c r="C239" s="363"/>
      <c r="D239" s="363"/>
      <c r="E239" s="363"/>
      <c r="F239" s="372"/>
      <c r="G239" s="373"/>
      <c r="H239" s="374"/>
      <c r="I239" s="374"/>
      <c r="J239" s="374"/>
      <c r="K239" s="375"/>
      <c r="L239" s="369"/>
      <c r="M239" s="369"/>
      <c r="N239" s="369"/>
    </row>
    <row r="240" spans="1:23" s="361" customFormat="1" ht="25" customHeight="1">
      <c r="B240" s="362"/>
      <c r="C240" s="363"/>
      <c r="D240" s="363"/>
      <c r="E240" s="363"/>
      <c r="F240" s="372"/>
      <c r="G240" s="373"/>
      <c r="H240" s="374"/>
      <c r="I240" s="374"/>
      <c r="J240" s="374"/>
      <c r="K240" s="375"/>
      <c r="L240" s="369"/>
      <c r="M240" s="369"/>
      <c r="N240" s="369"/>
    </row>
    <row r="241" spans="2:14" s="361" customFormat="1" ht="25" customHeight="1">
      <c r="B241" s="362"/>
      <c r="C241" s="363"/>
      <c r="D241" s="363"/>
      <c r="E241" s="363"/>
      <c r="F241" s="372"/>
      <c r="G241" s="373"/>
      <c r="H241" s="374"/>
      <c r="I241" s="374"/>
      <c r="J241" s="374"/>
      <c r="K241" s="375"/>
      <c r="L241" s="369"/>
      <c r="M241" s="369"/>
      <c r="N241" s="369"/>
    </row>
    <row r="242" spans="2:14" s="361" customFormat="1" ht="25" customHeight="1">
      <c r="B242" s="362"/>
      <c r="C242" s="363"/>
      <c r="D242" s="363"/>
      <c r="E242" s="363"/>
      <c r="F242" s="372"/>
      <c r="G242" s="373"/>
      <c r="H242" s="374"/>
      <c r="I242" s="374"/>
      <c r="J242" s="374"/>
      <c r="K242" s="375"/>
      <c r="L242" s="369"/>
      <c r="M242" s="369"/>
      <c r="N242" s="369"/>
    </row>
    <row r="243" spans="2:14" s="361" customFormat="1" ht="25" customHeight="1">
      <c r="B243" s="362"/>
      <c r="C243" s="363"/>
      <c r="D243" s="363"/>
      <c r="E243" s="363"/>
      <c r="F243" s="372"/>
      <c r="G243" s="373"/>
      <c r="H243" s="374"/>
      <c r="I243" s="374"/>
      <c r="J243" s="374"/>
      <c r="K243" s="375"/>
      <c r="L243" s="369"/>
      <c r="M243" s="369"/>
      <c r="N243" s="369"/>
    </row>
    <row r="244" spans="2:14" s="361" customFormat="1" ht="25" customHeight="1">
      <c r="B244" s="362"/>
      <c r="C244" s="363"/>
      <c r="D244" s="363"/>
      <c r="E244" s="363"/>
      <c r="F244" s="372"/>
      <c r="G244" s="373"/>
      <c r="H244" s="374"/>
      <c r="I244" s="374"/>
      <c r="J244" s="374"/>
      <c r="K244" s="375"/>
      <c r="L244" s="369"/>
      <c r="M244" s="369"/>
      <c r="N244" s="369"/>
    </row>
    <row r="245" spans="2:14" s="361" customFormat="1" ht="25" customHeight="1">
      <c r="B245" s="362"/>
      <c r="C245" s="363"/>
      <c r="D245" s="363"/>
      <c r="E245" s="363"/>
      <c r="F245" s="372"/>
      <c r="G245" s="373"/>
      <c r="H245" s="374"/>
      <c r="I245" s="374"/>
      <c r="J245" s="374"/>
      <c r="K245" s="375"/>
      <c r="L245" s="369"/>
      <c r="M245" s="369"/>
      <c r="N245" s="369"/>
    </row>
    <row r="246" spans="2:14" s="361" customFormat="1" ht="25" customHeight="1">
      <c r="B246" s="362"/>
      <c r="C246" s="363"/>
      <c r="D246" s="363"/>
      <c r="E246" s="363"/>
      <c r="F246" s="372"/>
      <c r="G246" s="373"/>
      <c r="H246" s="374"/>
      <c r="I246" s="374"/>
      <c r="J246" s="374"/>
      <c r="K246" s="375"/>
      <c r="L246" s="369"/>
      <c r="M246" s="369"/>
      <c r="N246" s="369"/>
    </row>
    <row r="247" spans="2:14" s="361" customFormat="1" ht="25" customHeight="1">
      <c r="B247" s="362"/>
      <c r="C247" s="363"/>
      <c r="D247" s="363"/>
      <c r="E247" s="363"/>
      <c r="F247" s="372"/>
      <c r="G247" s="373"/>
      <c r="H247" s="374"/>
      <c r="I247" s="374"/>
      <c r="J247" s="374"/>
      <c r="K247" s="375"/>
      <c r="L247" s="369"/>
      <c r="M247" s="369"/>
      <c r="N247" s="369"/>
    </row>
    <row r="248" spans="2:14" s="361" customFormat="1" ht="25" customHeight="1">
      <c r="B248" s="362"/>
      <c r="C248" s="363"/>
      <c r="D248" s="363"/>
      <c r="E248" s="363"/>
      <c r="F248" s="372"/>
      <c r="G248" s="373"/>
      <c r="H248" s="374"/>
      <c r="I248" s="374"/>
      <c r="J248" s="374"/>
      <c r="K248" s="375"/>
      <c r="L248" s="369"/>
      <c r="M248" s="369"/>
      <c r="N248" s="369"/>
    </row>
    <row r="249" spans="2:14" s="361" customFormat="1" ht="25" customHeight="1">
      <c r="B249" s="362"/>
      <c r="C249" s="363"/>
      <c r="D249" s="363"/>
      <c r="E249" s="363"/>
      <c r="F249" s="372"/>
      <c r="G249" s="373"/>
      <c r="H249" s="374"/>
      <c r="I249" s="374"/>
      <c r="J249" s="374"/>
      <c r="K249" s="375"/>
      <c r="L249" s="369"/>
      <c r="M249" s="369"/>
      <c r="N249" s="369"/>
    </row>
    <row r="250" spans="2:14" s="361" customFormat="1" ht="25" customHeight="1">
      <c r="B250" s="362"/>
      <c r="C250" s="363"/>
      <c r="D250" s="363"/>
      <c r="E250" s="363"/>
      <c r="F250" s="372"/>
      <c r="G250" s="373"/>
      <c r="H250" s="374"/>
      <c r="I250" s="374"/>
      <c r="J250" s="374"/>
      <c r="K250" s="375"/>
      <c r="L250" s="369"/>
      <c r="M250" s="369"/>
      <c r="N250" s="369"/>
    </row>
    <row r="251" spans="2:14" s="361" customFormat="1" ht="25" customHeight="1">
      <c r="B251" s="362"/>
      <c r="C251" s="363"/>
      <c r="D251" s="363"/>
      <c r="E251" s="363"/>
      <c r="F251" s="372"/>
      <c r="G251" s="373"/>
      <c r="H251" s="374"/>
      <c r="I251" s="374"/>
      <c r="J251" s="374"/>
      <c r="K251" s="375"/>
      <c r="L251" s="369"/>
      <c r="M251" s="369"/>
      <c r="N251" s="369"/>
    </row>
    <row r="252" spans="2:14" s="361" customFormat="1" ht="25" customHeight="1">
      <c r="B252" s="362"/>
      <c r="K252" s="375"/>
      <c r="M252" s="378"/>
    </row>
    <row r="253" spans="2:14" s="361" customFormat="1" ht="25" customHeight="1">
      <c r="B253" s="362"/>
      <c r="K253" s="375"/>
      <c r="M253" s="378"/>
    </row>
    <row r="254" spans="2:14" s="361" customFormat="1" ht="25" customHeight="1">
      <c r="B254" s="362"/>
      <c r="K254" s="375"/>
      <c r="M254" s="378"/>
    </row>
    <row r="255" spans="2:14" s="361" customFormat="1" ht="25" customHeight="1">
      <c r="B255" s="362"/>
      <c r="K255" s="375"/>
      <c r="M255" s="378"/>
    </row>
    <row r="256" spans="2:14" s="361" customFormat="1" ht="25" customHeight="1">
      <c r="B256" s="362"/>
      <c r="K256" s="375"/>
      <c r="M256" s="378"/>
    </row>
    <row r="257" spans="2:13" s="361" customFormat="1" ht="25" customHeight="1">
      <c r="B257" s="362"/>
      <c r="K257" s="375"/>
      <c r="M257" s="378"/>
    </row>
    <row r="258" spans="2:13" s="361" customFormat="1" ht="25" customHeight="1">
      <c r="B258" s="362"/>
      <c r="K258" s="375"/>
      <c r="M258" s="378"/>
    </row>
    <row r="259" spans="2:13" s="361" customFormat="1" ht="25" customHeight="1">
      <c r="B259" s="362"/>
      <c r="K259" s="375"/>
      <c r="M259" s="378"/>
    </row>
    <row r="260" spans="2:13" s="361" customFormat="1" ht="25" customHeight="1">
      <c r="B260" s="362"/>
      <c r="K260" s="375"/>
      <c r="M260" s="378"/>
    </row>
    <row r="261" spans="2:13" s="361" customFormat="1" ht="25" customHeight="1">
      <c r="B261" s="362"/>
      <c r="K261" s="375"/>
      <c r="M261" s="378"/>
    </row>
    <row r="262" spans="2:13" s="361" customFormat="1" ht="25" customHeight="1">
      <c r="B262" s="362"/>
      <c r="K262" s="375"/>
      <c r="M262" s="378"/>
    </row>
    <row r="263" spans="2:13" s="361" customFormat="1" ht="25" customHeight="1">
      <c r="B263" s="362"/>
      <c r="K263" s="375"/>
      <c r="M263" s="378"/>
    </row>
    <row r="264" spans="2:13" s="361" customFormat="1" ht="25" customHeight="1">
      <c r="B264" s="362"/>
      <c r="K264" s="375"/>
      <c r="M264" s="378"/>
    </row>
    <row r="265" spans="2:13" s="361" customFormat="1" ht="25" customHeight="1">
      <c r="B265" s="362"/>
      <c r="K265" s="375"/>
      <c r="M265" s="378"/>
    </row>
    <row r="266" spans="2:13" s="361" customFormat="1" ht="25" customHeight="1">
      <c r="B266" s="362"/>
      <c r="K266" s="375"/>
      <c r="M266" s="378"/>
    </row>
    <row r="267" spans="2:13" s="361" customFormat="1" ht="25" customHeight="1">
      <c r="B267" s="362"/>
      <c r="K267" s="375"/>
      <c r="M267" s="378"/>
    </row>
    <row r="268" spans="2:13" s="361" customFormat="1" ht="25" customHeight="1">
      <c r="B268" s="362"/>
      <c r="K268" s="375"/>
      <c r="M268" s="378"/>
    </row>
    <row r="269" spans="2:13" s="361" customFormat="1" ht="25" customHeight="1">
      <c r="B269" s="362"/>
      <c r="K269" s="375"/>
      <c r="M269" s="378"/>
    </row>
    <row r="270" spans="2:13" s="361" customFormat="1" ht="25" customHeight="1">
      <c r="B270" s="362"/>
      <c r="K270" s="375"/>
      <c r="M270" s="378"/>
    </row>
    <row r="271" spans="2:13" s="361" customFormat="1" ht="25" customHeight="1">
      <c r="B271" s="362"/>
      <c r="K271" s="375"/>
      <c r="M271" s="378"/>
    </row>
    <row r="272" spans="2:13" s="361" customFormat="1" ht="25" customHeight="1">
      <c r="B272" s="362"/>
      <c r="K272" s="375"/>
      <c r="M272" s="378"/>
    </row>
    <row r="273" spans="2:13" s="361" customFormat="1" ht="25" customHeight="1">
      <c r="B273" s="362"/>
      <c r="K273" s="375"/>
      <c r="M273" s="378"/>
    </row>
    <row r="274" spans="2:13" s="361" customFormat="1" ht="25" customHeight="1">
      <c r="B274" s="362"/>
      <c r="K274" s="375"/>
      <c r="M274" s="378"/>
    </row>
    <row r="275" spans="2:13" s="361" customFormat="1" ht="25" customHeight="1">
      <c r="B275" s="362"/>
      <c r="K275" s="375"/>
      <c r="M275" s="378"/>
    </row>
    <row r="276" spans="2:13" s="361" customFormat="1" ht="25" customHeight="1">
      <c r="B276" s="362"/>
      <c r="K276" s="375"/>
      <c r="M276" s="378"/>
    </row>
    <row r="277" spans="2:13" s="361" customFormat="1" ht="25" customHeight="1">
      <c r="B277" s="362"/>
      <c r="K277" s="375"/>
      <c r="M277" s="378"/>
    </row>
    <row r="278" spans="2:13" s="361" customFormat="1" ht="25" customHeight="1">
      <c r="B278" s="362"/>
      <c r="K278" s="375"/>
      <c r="M278" s="378"/>
    </row>
    <row r="279" spans="2:13" s="361" customFormat="1" ht="25" customHeight="1">
      <c r="B279" s="362"/>
      <c r="K279" s="375"/>
      <c r="M279" s="378"/>
    </row>
    <row r="280" spans="2:13" s="361" customFormat="1" ht="25" customHeight="1">
      <c r="B280" s="362"/>
      <c r="K280" s="375"/>
      <c r="M280" s="378"/>
    </row>
    <row r="281" spans="2:13" s="361" customFormat="1" ht="25" customHeight="1">
      <c r="B281" s="362"/>
      <c r="K281" s="375"/>
      <c r="M281" s="378"/>
    </row>
    <row r="282" spans="2:13" s="361" customFormat="1" ht="25" customHeight="1">
      <c r="B282" s="362"/>
      <c r="K282" s="375"/>
      <c r="M282" s="378"/>
    </row>
    <row r="283" spans="2:13" s="361" customFormat="1" ht="25" customHeight="1">
      <c r="B283" s="362"/>
      <c r="K283" s="375"/>
      <c r="M283" s="378"/>
    </row>
    <row r="284" spans="2:13" s="361" customFormat="1" ht="25" customHeight="1">
      <c r="B284" s="362"/>
      <c r="K284" s="375"/>
      <c r="M284" s="378"/>
    </row>
    <row r="285" spans="2:13" s="361" customFormat="1" ht="25" customHeight="1">
      <c r="B285" s="362"/>
      <c r="K285" s="375"/>
      <c r="M285" s="378"/>
    </row>
    <row r="286" spans="2:13" s="361" customFormat="1" ht="25" customHeight="1">
      <c r="B286" s="362"/>
      <c r="K286" s="375"/>
      <c r="M286" s="378"/>
    </row>
    <row r="287" spans="2:13" s="361" customFormat="1" ht="25" customHeight="1">
      <c r="B287" s="362"/>
      <c r="K287" s="375"/>
      <c r="M287" s="378"/>
    </row>
    <row r="288" spans="2:13" s="361" customFormat="1" ht="25" customHeight="1">
      <c r="B288" s="362"/>
      <c r="K288" s="375"/>
      <c r="M288" s="378"/>
    </row>
    <row r="289" spans="2:13" s="361" customFormat="1" ht="25" customHeight="1">
      <c r="B289" s="362"/>
      <c r="K289" s="375"/>
      <c r="M289" s="378"/>
    </row>
    <row r="290" spans="2:13" s="361" customFormat="1" ht="25" customHeight="1">
      <c r="B290" s="362"/>
      <c r="K290" s="375"/>
      <c r="M290" s="378"/>
    </row>
    <row r="291" spans="2:13" s="361" customFormat="1" ht="25" customHeight="1">
      <c r="B291" s="362"/>
      <c r="K291" s="375"/>
      <c r="M291" s="378"/>
    </row>
    <row r="292" spans="2:13" s="361" customFormat="1" ht="25" customHeight="1">
      <c r="B292" s="362"/>
      <c r="K292" s="375"/>
      <c r="M292" s="378"/>
    </row>
    <row r="293" spans="2:13" s="361" customFormat="1" ht="25" customHeight="1">
      <c r="B293" s="362"/>
      <c r="K293" s="375"/>
      <c r="M293" s="378"/>
    </row>
    <row r="294" spans="2:13" s="361" customFormat="1" ht="25" customHeight="1">
      <c r="B294" s="362"/>
      <c r="K294" s="375"/>
      <c r="M294" s="378"/>
    </row>
    <row r="295" spans="2:13" s="361" customFormat="1" ht="25" customHeight="1">
      <c r="B295" s="362"/>
      <c r="K295" s="375"/>
      <c r="M295" s="378"/>
    </row>
    <row r="296" spans="2:13" s="361" customFormat="1" ht="25" customHeight="1">
      <c r="B296" s="362"/>
      <c r="K296" s="375"/>
      <c r="M296" s="378"/>
    </row>
    <row r="297" spans="2:13" s="361" customFormat="1" ht="25" customHeight="1">
      <c r="B297" s="362"/>
      <c r="K297" s="375"/>
      <c r="M297" s="378"/>
    </row>
    <row r="298" spans="2:13" s="361" customFormat="1" ht="25" customHeight="1">
      <c r="B298" s="362"/>
      <c r="K298" s="375"/>
      <c r="M298" s="378"/>
    </row>
    <row r="299" spans="2:13" s="361" customFormat="1" ht="25" customHeight="1">
      <c r="B299" s="362"/>
      <c r="K299" s="375"/>
      <c r="M299" s="378"/>
    </row>
    <row r="300" spans="2:13" s="361" customFormat="1" ht="25" customHeight="1">
      <c r="B300" s="362"/>
      <c r="K300" s="375"/>
      <c r="M300" s="378"/>
    </row>
    <row r="301" spans="2:13" s="361" customFormat="1" ht="25" customHeight="1">
      <c r="B301" s="362"/>
      <c r="K301" s="375"/>
      <c r="M301" s="378"/>
    </row>
    <row r="302" spans="2:13" s="361" customFormat="1" ht="25" customHeight="1">
      <c r="B302" s="362"/>
      <c r="K302" s="375"/>
      <c r="M302" s="378"/>
    </row>
    <row r="314" spans="2:4" ht="25" customHeight="1">
      <c r="B314" s="379"/>
      <c r="C314" s="178"/>
      <c r="D314" s="149"/>
    </row>
  </sheetData>
  <mergeCells count="43">
    <mergeCell ref="B170:F170"/>
    <mergeCell ref="B171:F171"/>
    <mergeCell ref="B205:G207"/>
    <mergeCell ref="B208:F208"/>
    <mergeCell ref="C134:D134"/>
    <mergeCell ref="E134:F134"/>
    <mergeCell ref="G134:H134"/>
    <mergeCell ref="B139:G141"/>
    <mergeCell ref="B167:G169"/>
    <mergeCell ref="C132:D132"/>
    <mergeCell ref="E132:F132"/>
    <mergeCell ref="G132:H132"/>
    <mergeCell ref="C133:D133"/>
    <mergeCell ref="E133:F133"/>
    <mergeCell ref="G133:H133"/>
    <mergeCell ref="D106:E106"/>
    <mergeCell ref="F106:G106"/>
    <mergeCell ref="H106:I106"/>
    <mergeCell ref="B110:G112"/>
    <mergeCell ref="B125:G127"/>
    <mergeCell ref="D104:E104"/>
    <mergeCell ref="F104:G104"/>
    <mergeCell ref="H104:I104"/>
    <mergeCell ref="D105:E105"/>
    <mergeCell ref="F105:G105"/>
    <mergeCell ref="H105:I105"/>
    <mergeCell ref="D102:E102"/>
    <mergeCell ref="F102:G102"/>
    <mergeCell ref="H102:I102"/>
    <mergeCell ref="D103:E103"/>
    <mergeCell ref="F103:G103"/>
    <mergeCell ref="H103:I103"/>
    <mergeCell ref="B60:E60"/>
    <mergeCell ref="B70:E70"/>
    <mergeCell ref="B87:K89"/>
    <mergeCell ref="D100:E100"/>
    <mergeCell ref="F100:G100"/>
    <mergeCell ref="H100:I100"/>
    <mergeCell ref="B4:C4"/>
    <mergeCell ref="B15:G17"/>
    <mergeCell ref="B19:F19"/>
    <mergeCell ref="B24:E24"/>
    <mergeCell ref="B45:E45"/>
  </mergeCells>
  <conditionalFormatting sqref="I26:I39 K26:K39 I47:I56 K47:K56 I62:I65 K62:K65 I72:I74 K72:K74 I81:I83 K81:K83 I95:I96 K95:K96 I118:I120 K118:K120 J119:J120">
    <cfRule type="cellIs" dxfId="13" priority="1" operator="greaterThan">
      <formula>0</formula>
    </cfRule>
  </conditionalFormatting>
  <hyperlinks>
    <hyperlink ref="B10:C10" r:id="rId1" display="hello@safespring.com" xr:uid="{00000000-0004-0000-0000-000000000000}"/>
    <hyperlink ref="B10" r:id="rId2" xr:uid="{00000000-0004-0000-0000-000001000000}"/>
    <hyperlink ref="B24:E24" location="'SEK - Safesprings tjänster 2023'!I80" display="Central blocklagring kan köpas till instanserna. Se &quot;Central blocklagring&quot; i prislistan." xr:uid="{00000000-0004-0000-0000-000002000000}"/>
    <hyperlink ref="B45:E45" location="'SEK - Safesprings tjänster 2023'!I80" display="Central blocklagring kan köpas till instanserna. Se &quot;Central blocklagring&quot; i prislistan." xr:uid="{00000000-0004-0000-0000-000003000000}"/>
    <hyperlink ref="B60" location="'SEK - Safesprings tjänster 2022'!I83" display="Central blocklagring kan köpas till instanserna. Se &quot;Central blocklagring&quot; i prislistan." xr:uid="{00000000-0004-0000-0000-000004000000}"/>
    <hyperlink ref="B60:E60" location="'SEK - Safesprings tjänster 2022'!I81" display="Central blocklagring kan köpas till instanserna. Se &quot;Central blocklagring&quot; i prislistan." xr:uid="{00000000-0004-0000-0000-000005000000}"/>
    <hyperlink ref="B70" location="'SEK - Safesprings tjänster 2022'!I83" display="Central blocklagring kan köpas till instanserna. Se &quot;Central blocklagring&quot; i prislistan." xr:uid="{00000000-0004-0000-0000-000006000000}"/>
    <hyperlink ref="B70:E70" location="'SEK - Safesprings tjänster 2022'!I81" display="Central blocklagring kan köpas till instanserna. Se &quot;Central blocklagring&quot; i prislistan." xr:uid="{00000000-0004-0000-0000-000007000000}"/>
    <hyperlink ref="B212" r:id="rId3" xr:uid="{00000000-0004-0000-0000-000008000000}"/>
  </hyperlinks>
  <pageMargins left="0" right="0" top="0" bottom="0" header="0" footer="0"/>
  <pageSetup paperSize="9" scale="17" orientation="portrait"/>
  <headerFooter>
    <oddFooter>&amp;C&amp;P av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315"/>
  <sheetViews>
    <sheetView showGridLines="0" zoomScale="120" workbookViewId="0"/>
  </sheetViews>
  <sheetFormatPr baseColWidth="10" defaultColWidth="15" defaultRowHeight="25" customHeight="1"/>
  <cols>
    <col min="1" max="1" width="11.83203125" style="1" bestFit="1" customWidth="1"/>
    <col min="2" max="2" width="30.83203125" style="2" bestFit="1" customWidth="1"/>
    <col min="3" max="10" width="14.83203125" style="1" bestFit="1" customWidth="1"/>
    <col min="11" max="11" width="14.83203125" style="3" bestFit="1" customWidth="1"/>
    <col min="12" max="12" width="14.83203125" style="1" bestFit="1" customWidth="1"/>
    <col min="13" max="13" width="14.83203125" style="4" bestFit="1" customWidth="1"/>
    <col min="14" max="14" width="14.83203125" style="1" bestFit="1" customWidth="1"/>
    <col min="15" max="15" width="15" style="1" bestFit="1"/>
    <col min="16" max="16" width="15" style="1" bestFit="1" customWidth="1"/>
    <col min="17" max="17" width="15" style="1" bestFit="1"/>
    <col min="18" max="16384" width="15" style="1"/>
  </cols>
  <sheetData>
    <row r="1" spans="1:26" ht="25" customHeight="1">
      <c r="A1" s="5"/>
      <c r="B1" s="6"/>
      <c r="C1" s="7"/>
      <c r="D1" s="5"/>
      <c r="E1" s="5"/>
      <c r="F1" s="5"/>
      <c r="G1" s="5"/>
      <c r="H1" s="5"/>
      <c r="I1" s="5"/>
      <c r="J1" s="5"/>
      <c r="K1" s="8"/>
      <c r="L1" s="9"/>
      <c r="M1" s="10"/>
    </row>
    <row r="2" spans="1:26" ht="25" customHeight="1">
      <c r="A2" s="5"/>
      <c r="B2" s="6"/>
      <c r="C2" s="7"/>
      <c r="D2" s="5"/>
      <c r="E2" s="5"/>
      <c r="F2" s="5"/>
      <c r="G2" s="5"/>
      <c r="H2" s="5"/>
      <c r="I2" s="5"/>
      <c r="J2" s="5"/>
      <c r="K2" s="8"/>
      <c r="L2" s="9"/>
      <c r="M2" s="10"/>
    </row>
    <row r="3" spans="1:26" ht="25" customHeight="1">
      <c r="A3" s="5"/>
      <c r="B3" s="6"/>
      <c r="C3" s="7"/>
      <c r="D3" s="5"/>
      <c r="E3" s="5"/>
      <c r="F3" s="5"/>
      <c r="G3" s="5"/>
      <c r="H3" s="5"/>
      <c r="I3" s="5"/>
      <c r="J3" s="5"/>
      <c r="K3" s="8"/>
      <c r="L3" s="9"/>
      <c r="M3" s="10"/>
    </row>
    <row r="4" spans="1:26" ht="25" customHeight="1">
      <c r="A4" s="5"/>
      <c r="B4" s="533"/>
      <c r="C4" s="533"/>
      <c r="D4" s="5"/>
      <c r="E4" s="5"/>
      <c r="F4" s="5"/>
      <c r="G4" s="5"/>
      <c r="H4" s="5"/>
      <c r="I4" s="5"/>
      <c r="J4" s="5"/>
      <c r="K4" s="8"/>
      <c r="L4" s="9"/>
      <c r="M4" s="10"/>
    </row>
    <row r="5" spans="1:26" ht="25" customHeight="1">
      <c r="A5" s="5"/>
      <c r="B5" s="11" t="s">
        <v>201</v>
      </c>
      <c r="C5" s="12"/>
      <c r="D5" s="5"/>
      <c r="E5" s="5"/>
      <c r="F5" s="5"/>
      <c r="G5" s="5"/>
      <c r="H5" s="5"/>
      <c r="I5" s="5"/>
      <c r="J5" s="5"/>
      <c r="K5" s="8"/>
      <c r="L5" s="9"/>
      <c r="M5" s="10"/>
    </row>
    <row r="6" spans="1:26" ht="25" customHeight="1">
      <c r="A6" s="5"/>
      <c r="B6" s="13"/>
      <c r="C6" s="7"/>
      <c r="D6" s="5"/>
      <c r="E6" s="5"/>
      <c r="F6" s="5"/>
      <c r="G6" s="5"/>
      <c r="H6" s="5"/>
      <c r="I6" s="5"/>
      <c r="J6" s="5"/>
      <c r="K6" s="8"/>
      <c r="L6" s="9"/>
      <c r="M6" s="10"/>
    </row>
    <row r="7" spans="1:26" ht="25" customHeight="1">
      <c r="A7" s="5"/>
      <c r="B7" s="14"/>
      <c r="C7" s="7"/>
      <c r="D7" s="5"/>
      <c r="E7" s="5"/>
      <c r="F7" s="5"/>
      <c r="G7" s="5"/>
      <c r="H7" s="5"/>
      <c r="I7" s="5"/>
      <c r="J7" s="5"/>
      <c r="K7" s="8"/>
      <c r="L7" s="9"/>
      <c r="M7" s="10"/>
    </row>
    <row r="8" spans="1:26" ht="25" customHeight="1">
      <c r="A8" s="5"/>
      <c r="B8" s="15" t="s">
        <v>202</v>
      </c>
      <c r="C8" s="7"/>
      <c r="D8" s="16" t="s">
        <v>2</v>
      </c>
      <c r="E8" s="5"/>
      <c r="F8" s="5"/>
      <c r="G8" s="5"/>
      <c r="H8" s="5"/>
      <c r="I8" s="5"/>
      <c r="J8" s="5"/>
      <c r="K8" s="8"/>
      <c r="L8" s="9"/>
      <c r="M8" s="10"/>
    </row>
    <row r="9" spans="1:26" ht="25" customHeight="1">
      <c r="A9" s="5"/>
      <c r="B9" s="17" t="s">
        <v>203</v>
      </c>
      <c r="C9" s="7"/>
      <c r="D9" s="5"/>
      <c r="E9" s="5"/>
      <c r="F9" s="5"/>
      <c r="G9" s="5"/>
      <c r="H9" s="5"/>
      <c r="I9" s="5"/>
      <c r="J9" s="5"/>
      <c r="K9" s="8"/>
      <c r="L9" s="9"/>
      <c r="M9" s="10"/>
    </row>
    <row r="10" spans="1:26" ht="25" customHeight="1">
      <c r="A10" s="5"/>
      <c r="B10" s="18" t="s">
        <v>4</v>
      </c>
      <c r="C10" s="19"/>
      <c r="D10" s="5"/>
      <c r="E10" s="5"/>
      <c r="F10" s="5"/>
      <c r="G10" s="5"/>
      <c r="H10" s="5"/>
      <c r="I10" s="5"/>
      <c r="J10" s="5"/>
      <c r="K10" s="8"/>
      <c r="L10" s="9"/>
      <c r="M10" s="10"/>
    </row>
    <row r="11" spans="1:26" s="20" customFormat="1" ht="25" customHeight="1">
      <c r="A11" s="21"/>
      <c r="B11" s="22"/>
      <c r="C11" s="23"/>
      <c r="D11" s="21"/>
      <c r="E11" s="21"/>
      <c r="F11" s="21"/>
      <c r="G11" s="24"/>
      <c r="H11" s="24"/>
      <c r="I11" s="25"/>
      <c r="J11" s="21"/>
      <c r="K11" s="26"/>
      <c r="L11" s="27"/>
      <c r="M11" s="10"/>
    </row>
    <row r="12" spans="1:26" s="20" customFormat="1" ht="25" customHeight="1">
      <c r="A12" s="28"/>
      <c r="B12" s="29"/>
      <c r="C12" s="30"/>
      <c r="D12" s="28"/>
      <c r="E12" s="28"/>
      <c r="F12" s="28"/>
      <c r="G12" s="31"/>
      <c r="H12" s="31"/>
      <c r="I12" s="32"/>
      <c r="J12" s="28"/>
      <c r="K12" s="33"/>
      <c r="L12" s="34"/>
      <c r="M12" s="10"/>
    </row>
    <row r="13" spans="1:26" s="20" customFormat="1" ht="25" customHeight="1">
      <c r="B13" s="35"/>
      <c r="G13" s="36"/>
      <c r="H13" s="36"/>
      <c r="I13" s="37"/>
      <c r="K13" s="38"/>
      <c r="L13" s="39"/>
      <c r="M13" s="10"/>
    </row>
    <row r="14" spans="1:26" s="20" customFormat="1" ht="25" customHeight="1">
      <c r="B14" s="35"/>
      <c r="G14" s="36"/>
      <c r="H14" s="36"/>
      <c r="I14" s="37"/>
      <c r="K14" s="38"/>
      <c r="L14" s="39"/>
      <c r="M14" s="10"/>
    </row>
    <row r="15" spans="1:26" s="20" customFormat="1" ht="25" customHeight="1">
      <c r="B15" s="534" t="s">
        <v>204</v>
      </c>
      <c r="C15" s="534"/>
      <c r="D15" s="534"/>
      <c r="E15" s="534"/>
      <c r="F15" s="534"/>
      <c r="G15" s="534"/>
      <c r="H15" s="37"/>
      <c r="J15" s="40"/>
      <c r="K15" s="38"/>
      <c r="L15" s="39"/>
      <c r="M15" s="10"/>
      <c r="S15" s="41"/>
      <c r="X15" s="41"/>
      <c r="Y15" s="41"/>
      <c r="Z15" s="41"/>
    </row>
    <row r="16" spans="1:26" s="20" customFormat="1" ht="25" customHeight="1">
      <c r="B16" s="534"/>
      <c r="C16" s="534"/>
      <c r="D16" s="534"/>
      <c r="E16" s="534"/>
      <c r="F16" s="534"/>
      <c r="G16" s="534"/>
      <c r="H16" s="37"/>
      <c r="J16" s="40"/>
      <c r="K16" s="38"/>
      <c r="L16" s="39"/>
      <c r="M16" s="10"/>
      <c r="S16" s="41"/>
      <c r="X16" s="41"/>
      <c r="Y16" s="41"/>
      <c r="Z16" s="41"/>
    </row>
    <row r="17" spans="2:26" s="20" customFormat="1" ht="25" customHeight="1">
      <c r="B17" s="534"/>
      <c r="C17" s="534"/>
      <c r="D17" s="534"/>
      <c r="E17" s="534"/>
      <c r="F17" s="534"/>
      <c r="G17" s="534"/>
      <c r="H17" s="37"/>
      <c r="J17" s="40"/>
      <c r="K17" s="38"/>
      <c r="L17" s="39"/>
      <c r="M17" s="10"/>
      <c r="S17" s="41"/>
      <c r="X17" s="41"/>
      <c r="Y17" s="41"/>
      <c r="Z17" s="41"/>
    </row>
    <row r="18" spans="2:26" s="20" customFormat="1" ht="25" customHeight="1">
      <c r="B18" s="42" t="s">
        <v>205</v>
      </c>
      <c r="C18" s="43"/>
      <c r="D18" s="43"/>
      <c r="E18" s="43"/>
      <c r="F18" s="43"/>
      <c r="H18" s="37"/>
      <c r="J18" s="40"/>
      <c r="K18" s="38"/>
      <c r="L18" s="39"/>
      <c r="M18" s="10"/>
      <c r="S18" s="41"/>
      <c r="T18" s="41"/>
      <c r="U18" s="41"/>
      <c r="V18" s="41"/>
      <c r="W18" s="41"/>
      <c r="X18" s="41"/>
      <c r="Y18" s="41"/>
      <c r="Z18" s="41"/>
    </row>
    <row r="19" spans="2:26" s="20" customFormat="1" ht="25" customHeight="1">
      <c r="B19" s="535" t="s">
        <v>206</v>
      </c>
      <c r="C19" s="535"/>
      <c r="D19" s="535"/>
      <c r="E19" s="535"/>
      <c r="F19" s="535"/>
      <c r="G19" s="45"/>
      <c r="H19" s="46"/>
      <c r="J19" s="47"/>
      <c r="K19" s="48"/>
      <c r="L19" s="49"/>
      <c r="M19" s="10"/>
      <c r="S19" s="41"/>
      <c r="T19" s="41"/>
      <c r="U19" s="41"/>
      <c r="V19" s="41"/>
      <c r="W19" s="41"/>
      <c r="X19" s="41"/>
      <c r="Y19" s="41"/>
      <c r="Z19" s="41"/>
    </row>
    <row r="20" spans="2:26" s="20" customFormat="1" ht="25" customHeight="1">
      <c r="B20" s="380" t="s">
        <v>207</v>
      </c>
      <c r="C20" s="381"/>
      <c r="D20" s="381"/>
      <c r="E20" s="52"/>
      <c r="F20" s="52"/>
      <c r="G20" s="45"/>
      <c r="H20" s="46"/>
      <c r="I20" s="45"/>
      <c r="J20" s="47"/>
      <c r="K20" s="48"/>
      <c r="L20" s="49"/>
      <c r="M20" s="10"/>
      <c r="S20" s="41"/>
      <c r="T20" s="41"/>
      <c r="U20" s="41"/>
      <c r="V20" s="41"/>
      <c r="W20" s="53"/>
      <c r="X20" s="54"/>
      <c r="Y20" s="41"/>
      <c r="Z20" s="41"/>
    </row>
    <row r="21" spans="2:26" s="20" customFormat="1" ht="25" customHeight="1">
      <c r="B21" s="44"/>
      <c r="C21" s="52"/>
      <c r="D21" s="52"/>
      <c r="E21" s="52"/>
      <c r="F21" s="52"/>
      <c r="G21" s="45"/>
      <c r="H21" s="46"/>
      <c r="I21" s="45"/>
      <c r="J21" s="47"/>
      <c r="K21" s="48"/>
      <c r="L21" s="49"/>
      <c r="M21" s="10"/>
      <c r="P21" s="1"/>
      <c r="Q21" s="1"/>
      <c r="R21" s="1"/>
      <c r="S21" s="41"/>
      <c r="T21" s="41"/>
      <c r="U21" s="41"/>
      <c r="V21" s="41"/>
      <c r="W21" s="41"/>
      <c r="X21" s="41"/>
      <c r="Y21" s="53"/>
      <c r="Z21" s="41"/>
    </row>
    <row r="22" spans="2:26" s="20" customFormat="1" ht="25" customHeight="1">
      <c r="B22" s="44"/>
      <c r="C22" s="52"/>
      <c r="D22" s="52"/>
      <c r="E22" s="52"/>
      <c r="F22" s="52"/>
      <c r="G22" s="45"/>
      <c r="H22" s="46"/>
      <c r="I22" s="45"/>
      <c r="J22" s="47"/>
      <c r="K22" s="48"/>
      <c r="L22" s="49"/>
      <c r="M22" s="10"/>
      <c r="P22" s="1"/>
      <c r="Q22" s="1"/>
      <c r="R22" s="1"/>
      <c r="S22" s="41"/>
      <c r="T22" s="41"/>
      <c r="U22" s="41"/>
      <c r="V22" s="41"/>
      <c r="W22" s="41"/>
      <c r="X22" s="41"/>
      <c r="Y22" s="53"/>
      <c r="Z22" s="41"/>
    </row>
    <row r="23" spans="2:26" s="55" customFormat="1" ht="25" customHeight="1">
      <c r="B23" s="56" t="s">
        <v>9</v>
      </c>
      <c r="C23" s="57"/>
      <c r="D23" s="57"/>
      <c r="E23" s="57"/>
      <c r="F23" s="57"/>
      <c r="G23" s="57"/>
      <c r="H23" s="58"/>
      <c r="I23" s="59"/>
      <c r="J23" s="59"/>
      <c r="K23" s="60"/>
      <c r="M23" s="10"/>
      <c r="P23" s="61"/>
      <c r="Q23" s="61"/>
      <c r="R23" s="62"/>
    </row>
    <row r="24" spans="2:26" ht="25" customHeight="1">
      <c r="B24" s="555" t="s">
        <v>208</v>
      </c>
      <c r="C24" s="555"/>
      <c r="D24" s="555"/>
      <c r="E24" s="555"/>
      <c r="M24" s="10"/>
    </row>
    <row r="25" spans="2:26" s="63" customFormat="1" ht="25" customHeight="1">
      <c r="B25" s="64" t="s">
        <v>11</v>
      </c>
      <c r="C25" s="65" t="s">
        <v>12</v>
      </c>
      <c r="D25" s="65" t="s">
        <v>35</v>
      </c>
      <c r="E25" s="66" t="s">
        <v>36</v>
      </c>
      <c r="F25" s="66" t="s">
        <v>209</v>
      </c>
      <c r="G25" s="66" t="s">
        <v>210</v>
      </c>
      <c r="H25" s="65"/>
      <c r="I25" s="67" t="s">
        <v>211</v>
      </c>
      <c r="J25" s="65"/>
      <c r="K25" s="68" t="s">
        <v>18</v>
      </c>
      <c r="M25" s="10"/>
      <c r="N25" s="1"/>
      <c r="O25" s="1"/>
      <c r="P25" s="53"/>
      <c r="Q25" s="53"/>
      <c r="R25" s="69"/>
    </row>
    <row r="26" spans="2:26" s="41" customFormat="1" ht="25" customHeight="1">
      <c r="B26" s="70" t="str">
        <f>'SEK - Safesprings tjänster 2024'!B26</f>
        <v>FLAVOR-l2. c2 r4. 100</v>
      </c>
      <c r="C26" s="71">
        <f>'SEK - Safesprings tjänster 2024'!C26</f>
        <v>2</v>
      </c>
      <c r="D26" s="71">
        <f>'SEK - Safesprings tjänster 2024'!D26</f>
        <v>4</v>
      </c>
      <c r="E26" s="72">
        <f>'SEK - Safesprings tjänster 2024'!E26</f>
        <v>100</v>
      </c>
      <c r="F26" s="73">
        <f t="shared" ref="F26:F56" si="0">G26/720</f>
        <v>0.66666666666666663</v>
      </c>
      <c r="G26" s="74">
        <f t="shared" ref="G26:G39" si="1">C26*IAAS_vcpu_SEK+D26*IAAS_ram_SEK+E26*IAAS_nvme_SEK</f>
        <v>480</v>
      </c>
      <c r="H26" s="23"/>
      <c r="I26" s="75"/>
      <c r="J26" s="23"/>
      <c r="K26" s="76">
        <f t="shared" ref="K26:K39" si="2">ROUNDUP(I26*G26,2)</f>
        <v>0</v>
      </c>
      <c r="M26" s="10"/>
      <c r="P26" s="53"/>
      <c r="R26" s="53"/>
    </row>
    <row r="27" spans="2:26" s="41" customFormat="1" ht="25" customHeight="1">
      <c r="B27" s="77" t="str">
        <f>'SEK - Safesprings tjänster 2024'!B27</f>
        <v>FLAVOR-l2. c2 r4. 500</v>
      </c>
      <c r="C27" s="78">
        <f>'SEK - Safesprings tjänster 2024'!C27</f>
        <v>2</v>
      </c>
      <c r="D27" s="78">
        <f>'SEK - Safesprings tjänster 2024'!D27</f>
        <v>4</v>
      </c>
      <c r="E27" s="79">
        <f>'SEK - Safesprings tjänster 2024'!E27</f>
        <v>500</v>
      </c>
      <c r="F27" s="80">
        <f t="shared" si="0"/>
        <v>1.2222222222222223</v>
      </c>
      <c r="G27" s="81">
        <f t="shared" si="1"/>
        <v>880</v>
      </c>
      <c r="H27" s="82"/>
      <c r="I27" s="75"/>
      <c r="J27" s="82"/>
      <c r="K27" s="83">
        <f t="shared" si="2"/>
        <v>0</v>
      </c>
      <c r="M27" s="10"/>
      <c r="P27" s="53"/>
      <c r="R27" s="53"/>
    </row>
    <row r="28" spans="2:26" s="41" customFormat="1" ht="25" customHeight="1">
      <c r="B28" s="70" t="str">
        <f>'SEK - Safesprings tjänster 2024'!B28</f>
        <v>FLAVOR-l2. c2 r4. 1000</v>
      </c>
      <c r="C28" s="71">
        <f>'SEK - Safesprings tjänster 2024'!C28</f>
        <v>2</v>
      </c>
      <c r="D28" s="71">
        <f>'SEK - Safesprings tjänster 2024'!D28</f>
        <v>4</v>
      </c>
      <c r="E28" s="72">
        <f>'SEK - Safesprings tjänster 2024'!E28</f>
        <v>1000</v>
      </c>
      <c r="F28" s="73">
        <f t="shared" si="0"/>
        <v>1.9166666666666667</v>
      </c>
      <c r="G28" s="74">
        <f t="shared" si="1"/>
        <v>1380</v>
      </c>
      <c r="H28" s="23"/>
      <c r="I28" s="75"/>
      <c r="J28" s="23"/>
      <c r="K28" s="76">
        <f t="shared" si="2"/>
        <v>0</v>
      </c>
      <c r="M28" s="10"/>
      <c r="P28" s="53"/>
      <c r="R28" s="53"/>
    </row>
    <row r="29" spans="2:26" s="41" customFormat="1" ht="25" customHeight="1">
      <c r="B29" s="77" t="str">
        <f>'SEK - Safesprings tjänster 2024'!B29</f>
        <v>FLAVOR-l2. c4 r8. 100</v>
      </c>
      <c r="C29" s="78">
        <f>'SEK - Safesprings tjänster 2024'!C29</f>
        <v>4</v>
      </c>
      <c r="D29" s="78">
        <f>'SEK - Safesprings tjänster 2024'!D29</f>
        <v>8</v>
      </c>
      <c r="E29" s="79">
        <f>'SEK - Safesprings tjänster 2024'!E29</f>
        <v>100</v>
      </c>
      <c r="F29" s="80">
        <f t="shared" si="0"/>
        <v>1.1944444444444444</v>
      </c>
      <c r="G29" s="81">
        <f t="shared" si="1"/>
        <v>860</v>
      </c>
      <c r="H29" s="82"/>
      <c r="I29" s="75"/>
      <c r="J29" s="82"/>
      <c r="K29" s="83">
        <f t="shared" si="2"/>
        <v>0</v>
      </c>
      <c r="M29" s="10"/>
      <c r="P29" s="53"/>
      <c r="R29" s="53"/>
    </row>
    <row r="30" spans="2:26" s="41" customFormat="1" ht="25" customHeight="1">
      <c r="B30" s="70" t="str">
        <f>'SEK - Safesprings tjänster 2024'!B30</f>
        <v>FLAVOR-l2. c4 r8. 500</v>
      </c>
      <c r="C30" s="71">
        <f>'SEK - Safesprings tjänster 2024'!C30</f>
        <v>4</v>
      </c>
      <c r="D30" s="71">
        <f>'SEK - Safesprings tjänster 2024'!D30</f>
        <v>8</v>
      </c>
      <c r="E30" s="72">
        <f>'SEK - Safesprings tjänster 2024'!E30</f>
        <v>500</v>
      </c>
      <c r="F30" s="73">
        <f t="shared" si="0"/>
        <v>1.75</v>
      </c>
      <c r="G30" s="74">
        <f t="shared" si="1"/>
        <v>1260</v>
      </c>
      <c r="H30" s="23"/>
      <c r="I30" s="75"/>
      <c r="J30" s="23"/>
      <c r="K30" s="76">
        <f t="shared" si="2"/>
        <v>0</v>
      </c>
      <c r="M30" s="10"/>
      <c r="P30" s="53"/>
      <c r="R30" s="53"/>
    </row>
    <row r="31" spans="2:26" s="41" customFormat="1" ht="25" customHeight="1">
      <c r="B31" s="77" t="str">
        <f>'SEK - Safesprings tjänster 2024'!B31</f>
        <v>FLAVOR-l2. c4 r8. 1000</v>
      </c>
      <c r="C31" s="78">
        <f>'SEK - Safesprings tjänster 2024'!C31</f>
        <v>4</v>
      </c>
      <c r="D31" s="78">
        <f>'SEK - Safesprings tjänster 2024'!D31</f>
        <v>8</v>
      </c>
      <c r="E31" s="79">
        <f>'SEK - Safesprings tjänster 2024'!E31</f>
        <v>1000</v>
      </c>
      <c r="F31" s="80">
        <f t="shared" si="0"/>
        <v>2.4444444444444446</v>
      </c>
      <c r="G31" s="81">
        <f t="shared" si="1"/>
        <v>1760</v>
      </c>
      <c r="H31" s="82"/>
      <c r="I31" s="75"/>
      <c r="J31" s="82"/>
      <c r="K31" s="83">
        <f t="shared" si="2"/>
        <v>0</v>
      </c>
      <c r="M31" s="10"/>
      <c r="P31" s="53"/>
      <c r="R31" s="53"/>
    </row>
    <row r="32" spans="2:26" s="41" customFormat="1" ht="25" customHeight="1">
      <c r="B32" s="70" t="str">
        <f>'SEK - Safesprings tjänster 2024'!B32</f>
        <v>FLAVOR-l2. c8 r16. 100</v>
      </c>
      <c r="C32" s="71">
        <f>'SEK - Safesprings tjänster 2024'!C32</f>
        <v>8</v>
      </c>
      <c r="D32" s="71">
        <f>'SEK - Safesprings tjänster 2024'!D32</f>
        <v>16</v>
      </c>
      <c r="E32" s="72">
        <f>'SEK - Safesprings tjänster 2024'!E32</f>
        <v>100</v>
      </c>
      <c r="F32" s="73">
        <f t="shared" si="0"/>
        <v>2.25</v>
      </c>
      <c r="G32" s="74">
        <f t="shared" si="1"/>
        <v>1620</v>
      </c>
      <c r="H32" s="23"/>
      <c r="I32" s="75"/>
      <c r="J32" s="23"/>
      <c r="K32" s="76">
        <f t="shared" si="2"/>
        <v>0</v>
      </c>
      <c r="M32" s="10"/>
      <c r="P32" s="53"/>
      <c r="R32" s="53"/>
    </row>
    <row r="33" spans="2:18" s="41" customFormat="1" ht="25" customHeight="1">
      <c r="B33" s="77" t="str">
        <f>'SEK - Safesprings tjänster 2024'!B33</f>
        <v>FLAVOR-l2. c8 r16. 500</v>
      </c>
      <c r="C33" s="78">
        <f>'SEK - Safesprings tjänster 2024'!C33</f>
        <v>8</v>
      </c>
      <c r="D33" s="78">
        <f>'SEK - Safesprings tjänster 2024'!D33</f>
        <v>16</v>
      </c>
      <c r="E33" s="79">
        <f>'SEK - Safesprings tjänster 2024'!E33</f>
        <v>500</v>
      </c>
      <c r="F33" s="80">
        <f t="shared" si="0"/>
        <v>2.8055555555555554</v>
      </c>
      <c r="G33" s="81">
        <f t="shared" si="1"/>
        <v>2020</v>
      </c>
      <c r="H33" s="82"/>
      <c r="I33" s="75"/>
      <c r="J33" s="82"/>
      <c r="K33" s="83">
        <f t="shared" si="2"/>
        <v>0</v>
      </c>
      <c r="M33" s="10"/>
      <c r="P33" s="53"/>
      <c r="R33" s="53"/>
    </row>
    <row r="34" spans="2:18" s="41" customFormat="1" ht="25" customHeight="1">
      <c r="B34" s="70" t="str">
        <f>'SEK - Safesprings tjänster 2024'!B34</f>
        <v>FLAVOR-l2. c8 r16. 1000</v>
      </c>
      <c r="C34" s="71">
        <f>'SEK - Safesprings tjänster 2024'!C34</f>
        <v>8</v>
      </c>
      <c r="D34" s="71">
        <f>'SEK - Safesprings tjänster 2024'!D34</f>
        <v>16</v>
      </c>
      <c r="E34" s="72">
        <f>'SEK - Safesprings tjänster 2024'!E34</f>
        <v>1000</v>
      </c>
      <c r="F34" s="73">
        <f t="shared" si="0"/>
        <v>3.5</v>
      </c>
      <c r="G34" s="74">
        <f t="shared" si="1"/>
        <v>2520</v>
      </c>
      <c r="H34" s="23"/>
      <c r="I34" s="75"/>
      <c r="J34" s="23"/>
      <c r="K34" s="76">
        <f t="shared" si="2"/>
        <v>0</v>
      </c>
      <c r="M34" s="10"/>
      <c r="P34" s="53"/>
      <c r="R34" s="53"/>
    </row>
    <row r="35" spans="2:18" s="41" customFormat="1" ht="25" customHeight="1">
      <c r="B35" s="77" t="str">
        <f>'SEK - Safesprings tjänster 2024'!B35</f>
        <v>FLAVOR-l2. c16 r32. 100</v>
      </c>
      <c r="C35" s="78">
        <f>'SEK - Safesprings tjänster 2024'!C35</f>
        <v>16</v>
      </c>
      <c r="D35" s="78">
        <f>'SEK - Safesprings tjänster 2024'!D35</f>
        <v>32</v>
      </c>
      <c r="E35" s="79">
        <f>'SEK - Safesprings tjänster 2024'!E35</f>
        <v>100</v>
      </c>
      <c r="F35" s="80">
        <f t="shared" si="0"/>
        <v>4.3611111111111107</v>
      </c>
      <c r="G35" s="81">
        <f t="shared" si="1"/>
        <v>3140</v>
      </c>
      <c r="H35" s="82"/>
      <c r="I35" s="75"/>
      <c r="J35" s="82"/>
      <c r="K35" s="83">
        <f t="shared" si="2"/>
        <v>0</v>
      </c>
      <c r="M35" s="10"/>
      <c r="P35" s="53"/>
      <c r="R35" s="53"/>
    </row>
    <row r="36" spans="2:18" s="41" customFormat="1" ht="25" customHeight="1">
      <c r="B36" s="70" t="str">
        <f>'SEK - Safesprings tjänster 2024'!B36</f>
        <v>FLAVOR-l2. c16 r32. 500</v>
      </c>
      <c r="C36" s="71">
        <f>'SEK - Safesprings tjänster 2024'!C36</f>
        <v>16</v>
      </c>
      <c r="D36" s="71">
        <f>'SEK - Safesprings tjänster 2024'!D36</f>
        <v>32</v>
      </c>
      <c r="E36" s="72">
        <f>'SEK - Safesprings tjänster 2024'!E36</f>
        <v>500</v>
      </c>
      <c r="F36" s="73">
        <f t="shared" si="0"/>
        <v>4.916666666666667</v>
      </c>
      <c r="G36" s="74">
        <f t="shared" si="1"/>
        <v>3540</v>
      </c>
      <c r="H36" s="23"/>
      <c r="I36" s="75"/>
      <c r="J36" s="23"/>
      <c r="K36" s="76">
        <f t="shared" si="2"/>
        <v>0</v>
      </c>
      <c r="M36" s="10"/>
      <c r="P36" s="53"/>
      <c r="R36" s="53"/>
    </row>
    <row r="37" spans="2:18" s="41" customFormat="1" ht="25" customHeight="1">
      <c r="B37" s="77" t="str">
        <f>'SEK - Safesprings tjänster 2024'!B37</f>
        <v>FLAVOR-l2. c16 r32. 1000</v>
      </c>
      <c r="C37" s="78">
        <f>'SEK - Safesprings tjänster 2024'!C37</f>
        <v>16</v>
      </c>
      <c r="D37" s="78">
        <f>'SEK - Safesprings tjänster 2024'!D37</f>
        <v>32</v>
      </c>
      <c r="E37" s="79">
        <f>'SEK - Safesprings tjänster 2024'!E37</f>
        <v>1000</v>
      </c>
      <c r="F37" s="80">
        <f t="shared" si="0"/>
        <v>5.6111111111111107</v>
      </c>
      <c r="G37" s="81">
        <f t="shared" si="1"/>
        <v>4040</v>
      </c>
      <c r="H37" s="82"/>
      <c r="I37" s="75"/>
      <c r="J37" s="82"/>
      <c r="K37" s="83">
        <f t="shared" si="2"/>
        <v>0</v>
      </c>
      <c r="M37" s="10"/>
      <c r="P37" s="53"/>
      <c r="R37" s="53"/>
    </row>
    <row r="38" spans="2:18" s="41" customFormat="1" ht="25" customHeight="1">
      <c r="B38" s="70" t="str">
        <f>'SEK - Safesprings tjänster 2024'!B38</f>
        <v>FLAVOR-l2. c16 r64. 500</v>
      </c>
      <c r="C38" s="71">
        <f>'SEK - Safesprings tjänster 2024'!C38</f>
        <v>16</v>
      </c>
      <c r="D38" s="71">
        <f>'SEK - Safesprings tjänster 2024'!D38</f>
        <v>64</v>
      </c>
      <c r="E38" s="72">
        <f>'SEK - Safesprings tjänster 2024'!E38</f>
        <v>500</v>
      </c>
      <c r="F38" s="73">
        <f t="shared" si="0"/>
        <v>7.3611111111111107</v>
      </c>
      <c r="G38" s="74">
        <f t="shared" si="1"/>
        <v>5300</v>
      </c>
      <c r="H38" s="23"/>
      <c r="I38" s="75"/>
      <c r="J38" s="23"/>
      <c r="K38" s="76">
        <f t="shared" si="2"/>
        <v>0</v>
      </c>
      <c r="M38" s="10"/>
      <c r="P38" s="53"/>
      <c r="R38" s="53"/>
    </row>
    <row r="39" spans="2:18" s="41" customFormat="1" ht="25" customHeight="1">
      <c r="B39" s="77" t="str">
        <f>'SEK - Safesprings tjänster 2024'!B39</f>
        <v>FLAVOR-l2. c32 r64. 1000</v>
      </c>
      <c r="C39" s="78">
        <f>'SEK - Safesprings tjänster 2024'!C39</f>
        <v>32</v>
      </c>
      <c r="D39" s="78">
        <f>'SEK - Safesprings tjänster 2024'!D39</f>
        <v>64</v>
      </c>
      <c r="E39" s="79">
        <f>'SEK - Safesprings tjänster 2024'!E39</f>
        <v>1000</v>
      </c>
      <c r="F39" s="80">
        <f t="shared" si="0"/>
        <v>9.8333333333333339</v>
      </c>
      <c r="G39" s="81">
        <f t="shared" si="1"/>
        <v>7080</v>
      </c>
      <c r="H39" s="82"/>
      <c r="I39" s="75"/>
      <c r="J39" s="82"/>
      <c r="K39" s="83">
        <f t="shared" si="2"/>
        <v>0</v>
      </c>
      <c r="M39" s="10"/>
      <c r="P39" s="53"/>
      <c r="R39" s="53"/>
    </row>
    <row r="40" spans="2:18" s="84" customFormat="1" ht="25" customHeight="1">
      <c r="B40" s="85" t="s">
        <v>33</v>
      </c>
      <c r="C40" s="86" t="str">
        <f t="array" ref="C40">SUM(C26:C39*I26:I39)&amp;" st"</f>
        <v>0 st</v>
      </c>
      <c r="D40" s="86" t="str">
        <f t="array" ref="D40">SUM(D26:D39*I26:I39)&amp;" GB"</f>
        <v>0 GB</v>
      </c>
      <c r="E40" s="87" t="str">
        <f t="array" ref="E40">SUM(E26:E39*I26:I39)&amp;" GB"</f>
        <v>0 GB</v>
      </c>
      <c r="F40" s="86"/>
      <c r="G40" s="86"/>
      <c r="H40" s="86"/>
      <c r="I40" s="86" t="str">
        <f>SUM(I26:I39)&amp;" st"</f>
        <v>0 st</v>
      </c>
      <c r="J40" s="86"/>
      <c r="K40" s="88">
        <f>SUM(K26:K39)</f>
        <v>0</v>
      </c>
      <c r="M40" s="10"/>
      <c r="P40" s="89"/>
      <c r="R40" s="89"/>
    </row>
    <row r="41" spans="2:18" s="41" customFormat="1" ht="25" customHeight="1">
      <c r="B41" s="119"/>
      <c r="C41" s="90"/>
      <c r="D41" s="90"/>
      <c r="E41" s="91"/>
      <c r="F41" s="93"/>
      <c r="G41" s="93"/>
      <c r="H41" s="94"/>
      <c r="I41" s="95"/>
      <c r="J41" s="96"/>
      <c r="K41" s="97"/>
      <c r="M41" s="10"/>
      <c r="P41" s="53"/>
      <c r="R41" s="53"/>
    </row>
    <row r="42" spans="2:18" s="41" customFormat="1" ht="25" customHeight="1">
      <c r="B42" s="119"/>
      <c r="C42" s="90"/>
      <c r="D42" s="90"/>
      <c r="E42" s="91"/>
      <c r="F42" s="92"/>
      <c r="G42" s="93"/>
      <c r="H42" s="94"/>
      <c r="I42" s="95"/>
      <c r="J42" s="96"/>
      <c r="K42" s="97"/>
      <c r="M42" s="10"/>
      <c r="P42" s="53"/>
      <c r="R42" s="53"/>
    </row>
    <row r="43" spans="2:18" ht="25" customHeight="1">
      <c r="B43" s="98"/>
      <c r="C43" s="99"/>
      <c r="D43" s="99"/>
      <c r="E43" s="99"/>
      <c r="F43" s="99"/>
      <c r="G43" s="100"/>
      <c r="H43" s="101"/>
      <c r="I43" s="101"/>
      <c r="J43" s="99"/>
      <c r="K43" s="102"/>
      <c r="M43" s="10"/>
      <c r="P43" s="53"/>
      <c r="Q43" s="53"/>
      <c r="R43" s="69"/>
    </row>
    <row r="44" spans="2:18" s="63" customFormat="1" ht="25" customHeight="1">
      <c r="B44" s="103" t="s">
        <v>34</v>
      </c>
      <c r="C44" s="104"/>
      <c r="D44" s="104"/>
      <c r="K44" s="105"/>
      <c r="M44" s="10"/>
    </row>
    <row r="45" spans="2:18" ht="25" customHeight="1">
      <c r="B45" s="555" t="s">
        <v>208</v>
      </c>
      <c r="C45" s="555"/>
      <c r="D45" s="555"/>
      <c r="E45" s="555"/>
      <c r="M45" s="10"/>
    </row>
    <row r="46" spans="2:18" s="63" customFormat="1" ht="25" customHeight="1">
      <c r="B46" s="64" t="s">
        <v>11</v>
      </c>
      <c r="C46" s="65" t="s">
        <v>12</v>
      </c>
      <c r="D46" s="65" t="s">
        <v>35</v>
      </c>
      <c r="E46" s="66" t="s">
        <v>36</v>
      </c>
      <c r="F46" s="66" t="s">
        <v>209</v>
      </c>
      <c r="G46" s="66" t="s">
        <v>210</v>
      </c>
      <c r="H46" s="65"/>
      <c r="I46" s="67" t="s">
        <v>211</v>
      </c>
      <c r="J46" s="65"/>
      <c r="K46" s="68" t="s">
        <v>18</v>
      </c>
      <c r="M46" s="10"/>
      <c r="N46" s="1"/>
      <c r="O46" s="1"/>
      <c r="P46" s="53"/>
      <c r="Q46" s="53"/>
      <c r="R46" s="69"/>
    </row>
    <row r="47" spans="2:18" s="41" customFormat="1" ht="25" customHeight="1">
      <c r="B47" s="70" t="str">
        <f>'SEK - Safesprings tjänster 2024'!B47</f>
        <v>FLAVOR-b2. c1 r2</v>
      </c>
      <c r="C47" s="71">
        <f>'SEK - Safesprings tjänster 2024'!C47</f>
        <v>1</v>
      </c>
      <c r="D47" s="71">
        <f>'SEK - Safesprings tjänster 2024'!D47</f>
        <v>2</v>
      </c>
      <c r="E47" s="112">
        <f>'SEK - Safesprings tjänster 2024'!E47</f>
        <v>0</v>
      </c>
      <c r="F47" s="73">
        <f t="shared" si="0"/>
        <v>0.2638888888888889</v>
      </c>
      <c r="G47" s="74">
        <f t="shared" ref="G47:G56" si="3">C47*IAAS_vcpu_SEK+D47*IAAS_ram_SEK+E47*IAAS_ssd_SEK</f>
        <v>190</v>
      </c>
      <c r="H47" s="23"/>
      <c r="I47" s="75"/>
      <c r="J47" s="23"/>
      <c r="K47" s="76">
        <f t="shared" ref="K47:K56" si="4">ROUNDUP(I47*G47,2)</f>
        <v>0</v>
      </c>
      <c r="M47" s="10"/>
      <c r="N47" s="113"/>
      <c r="O47" s="114"/>
    </row>
    <row r="48" spans="2:18" s="41" customFormat="1" ht="25" customHeight="1">
      <c r="B48" s="77" t="str">
        <f>'SEK - Safesprings tjänster 2024'!B48</f>
        <v>FLAVOR-b2. c1 r4</v>
      </c>
      <c r="C48" s="78">
        <f>'SEK - Safesprings tjänster 2024'!C48</f>
        <v>1</v>
      </c>
      <c r="D48" s="78">
        <f>'SEK - Safesprings tjänster 2024'!D48</f>
        <v>4</v>
      </c>
      <c r="E48" s="115">
        <f>'SEK - Safesprings tjänster 2024'!E48</f>
        <v>0</v>
      </c>
      <c r="F48" s="80">
        <f t="shared" si="0"/>
        <v>0.41666666666666669</v>
      </c>
      <c r="G48" s="81">
        <f t="shared" si="3"/>
        <v>300</v>
      </c>
      <c r="H48" s="82"/>
      <c r="I48" s="75"/>
      <c r="J48" s="82"/>
      <c r="K48" s="83">
        <f t="shared" si="4"/>
        <v>0</v>
      </c>
      <c r="L48" s="116"/>
      <c r="M48" s="10"/>
      <c r="N48" s="113"/>
      <c r="O48" s="114"/>
    </row>
    <row r="49" spans="1:20" s="41" customFormat="1" ht="25" customHeight="1">
      <c r="B49" s="70" t="str">
        <f>'SEK - Safesprings tjänster 2024'!B49</f>
        <v>FLAVOR-b2. c2 r4</v>
      </c>
      <c r="C49" s="71">
        <f>'SEK - Safesprings tjänster 2024'!C49</f>
        <v>2</v>
      </c>
      <c r="D49" s="71">
        <f>'SEK - Safesprings tjänster 2024'!D49</f>
        <v>4</v>
      </c>
      <c r="E49" s="112">
        <f>'SEK - Safesprings tjänster 2024'!E49</f>
        <v>0</v>
      </c>
      <c r="F49" s="73">
        <f t="shared" si="0"/>
        <v>0.52777777777777779</v>
      </c>
      <c r="G49" s="74">
        <f t="shared" si="3"/>
        <v>380</v>
      </c>
      <c r="H49" s="23"/>
      <c r="I49" s="75"/>
      <c r="J49" s="23"/>
      <c r="K49" s="76">
        <f t="shared" si="4"/>
        <v>0</v>
      </c>
      <c r="L49" s="116"/>
      <c r="M49" s="10"/>
      <c r="N49" s="113"/>
      <c r="O49" s="114"/>
    </row>
    <row r="50" spans="1:20" s="41" customFormat="1" ht="25" customHeight="1">
      <c r="B50" s="77" t="str">
        <f>'SEK - Safesprings tjänster 2024'!B50</f>
        <v>FLAVOR-b2. c2 r8</v>
      </c>
      <c r="C50" s="78">
        <f>'SEK - Safesprings tjänster 2024'!C50</f>
        <v>2</v>
      </c>
      <c r="D50" s="78">
        <f>'SEK - Safesprings tjänster 2024'!D50</f>
        <v>8</v>
      </c>
      <c r="E50" s="115">
        <f>'SEK - Safesprings tjänster 2024'!E50</f>
        <v>0</v>
      </c>
      <c r="F50" s="80">
        <f t="shared" si="0"/>
        <v>0.83333333333333337</v>
      </c>
      <c r="G50" s="81">
        <f t="shared" si="3"/>
        <v>600</v>
      </c>
      <c r="H50" s="82"/>
      <c r="I50" s="75"/>
      <c r="J50" s="82"/>
      <c r="K50" s="83">
        <f t="shared" si="4"/>
        <v>0</v>
      </c>
      <c r="L50" s="116"/>
      <c r="M50" s="10"/>
      <c r="N50" s="113"/>
      <c r="O50" s="117"/>
    </row>
    <row r="51" spans="1:20" s="41" customFormat="1" ht="25" customHeight="1">
      <c r="B51" s="70" t="str">
        <f>'SEK - Safesprings tjänster 2024'!B51</f>
        <v>FLAVOR-b2 .c4 r8</v>
      </c>
      <c r="C51" s="71">
        <f>'SEK - Safesprings tjänster 2024'!C51</f>
        <v>4</v>
      </c>
      <c r="D51" s="71">
        <f>'SEK - Safesprings tjänster 2024'!D51</f>
        <v>8</v>
      </c>
      <c r="E51" s="112">
        <f>'SEK - Safesprings tjänster 2024'!E51</f>
        <v>0</v>
      </c>
      <c r="F51" s="73">
        <f t="shared" si="0"/>
        <v>1.0555555555555556</v>
      </c>
      <c r="G51" s="74">
        <f t="shared" si="3"/>
        <v>760</v>
      </c>
      <c r="H51" s="23"/>
      <c r="I51" s="75"/>
      <c r="J51" s="23"/>
      <c r="K51" s="76">
        <f t="shared" si="4"/>
        <v>0</v>
      </c>
      <c r="L51" s="116"/>
      <c r="M51" s="10"/>
      <c r="N51" s="113"/>
    </row>
    <row r="52" spans="1:20" s="41" customFormat="1" ht="25" customHeight="1">
      <c r="B52" s="77" t="str">
        <f>'SEK - Safesprings tjänster 2024'!B52</f>
        <v>FLAVOR-b2. c4 r16</v>
      </c>
      <c r="C52" s="78">
        <f>'SEK - Safesprings tjänster 2024'!C52</f>
        <v>4</v>
      </c>
      <c r="D52" s="78">
        <f>'SEK - Safesprings tjänster 2024'!D52</f>
        <v>16</v>
      </c>
      <c r="E52" s="115">
        <f>'SEK - Safesprings tjänster 2024'!E52</f>
        <v>0</v>
      </c>
      <c r="F52" s="80">
        <f t="shared" si="0"/>
        <v>1.6666666666666667</v>
      </c>
      <c r="G52" s="81">
        <f t="shared" si="3"/>
        <v>1200</v>
      </c>
      <c r="H52" s="82"/>
      <c r="I52" s="75"/>
      <c r="J52" s="82"/>
      <c r="K52" s="83">
        <f t="shared" si="4"/>
        <v>0</v>
      </c>
      <c r="L52" s="116"/>
      <c r="M52" s="10"/>
    </row>
    <row r="53" spans="1:20" s="41" customFormat="1" ht="25" customHeight="1">
      <c r="B53" s="70" t="str">
        <f>'SEK - Safesprings tjänster 2024'!B53</f>
        <v>FLAVOR-b2. c8 r16</v>
      </c>
      <c r="C53" s="71">
        <f>'SEK - Safesprings tjänster 2024'!C53</f>
        <v>8</v>
      </c>
      <c r="D53" s="71">
        <f>'SEK - Safesprings tjänster 2024'!D53</f>
        <v>16</v>
      </c>
      <c r="E53" s="112">
        <f>'SEK - Safesprings tjänster 2024'!E53</f>
        <v>0</v>
      </c>
      <c r="F53" s="73">
        <f t="shared" si="0"/>
        <v>2.1111111111111112</v>
      </c>
      <c r="G53" s="74">
        <f t="shared" si="3"/>
        <v>1520</v>
      </c>
      <c r="H53" s="23"/>
      <c r="I53" s="75"/>
      <c r="J53" s="23"/>
      <c r="K53" s="76">
        <f t="shared" si="4"/>
        <v>0</v>
      </c>
      <c r="L53" s="116"/>
      <c r="M53" s="10"/>
      <c r="N53" s="113"/>
    </row>
    <row r="54" spans="1:20" s="41" customFormat="1" ht="25" customHeight="1">
      <c r="B54" s="77" t="str">
        <f>'SEK - Safesprings tjänster 2024'!B54</f>
        <v>FLAVOR-b2. c8 r32</v>
      </c>
      <c r="C54" s="78">
        <f>'SEK - Safesprings tjänster 2024'!C54</f>
        <v>8</v>
      </c>
      <c r="D54" s="78">
        <f>'SEK - Safesprings tjänster 2024'!D54</f>
        <v>32</v>
      </c>
      <c r="E54" s="115">
        <f>'SEK - Safesprings tjänster 2024'!E54</f>
        <v>0</v>
      </c>
      <c r="F54" s="80">
        <f t="shared" si="0"/>
        <v>3.3333333333333335</v>
      </c>
      <c r="G54" s="81">
        <f t="shared" si="3"/>
        <v>2400</v>
      </c>
      <c r="H54" s="82"/>
      <c r="I54" s="75"/>
      <c r="J54" s="82"/>
      <c r="K54" s="83">
        <f t="shared" si="4"/>
        <v>0</v>
      </c>
      <c r="L54" s="116"/>
      <c r="M54" s="10"/>
    </row>
    <row r="55" spans="1:20" s="41" customFormat="1" ht="25" customHeight="1">
      <c r="B55" s="70" t="str">
        <f>'SEK - Safesprings tjänster 2024'!B55</f>
        <v>FLAVOR-b2. c16 r32</v>
      </c>
      <c r="C55" s="71">
        <f>'SEK - Safesprings tjänster 2024'!C55</f>
        <v>16</v>
      </c>
      <c r="D55" s="71">
        <f>'SEK - Safesprings tjänster 2024'!D55</f>
        <v>32</v>
      </c>
      <c r="E55" s="112">
        <f>'SEK - Safesprings tjänster 2024'!E55</f>
        <v>0</v>
      </c>
      <c r="F55" s="73">
        <f t="shared" si="0"/>
        <v>4.2222222222222223</v>
      </c>
      <c r="G55" s="74">
        <f t="shared" si="3"/>
        <v>3040</v>
      </c>
      <c r="H55" s="23"/>
      <c r="I55" s="75"/>
      <c r="J55" s="23"/>
      <c r="K55" s="76">
        <f t="shared" si="4"/>
        <v>0</v>
      </c>
      <c r="L55" s="116"/>
      <c r="M55" s="10"/>
    </row>
    <row r="56" spans="1:20" s="41" customFormat="1" ht="25" customHeight="1">
      <c r="B56" s="77" t="str">
        <f>'SEK - Safesprings tjänster 2024'!B56</f>
        <v>FLAVOR-b2. c16 r64</v>
      </c>
      <c r="C56" s="78">
        <f>'SEK - Safesprings tjänster 2024'!C56</f>
        <v>16</v>
      </c>
      <c r="D56" s="78">
        <f>'SEK - Safesprings tjänster 2024'!D56</f>
        <v>64</v>
      </c>
      <c r="E56" s="115">
        <f>'SEK - Safesprings tjänster 2024'!E56</f>
        <v>0</v>
      </c>
      <c r="F56" s="80">
        <f t="shared" si="0"/>
        <v>6.666666666666667</v>
      </c>
      <c r="G56" s="81">
        <f t="shared" si="3"/>
        <v>4800</v>
      </c>
      <c r="H56" s="82"/>
      <c r="I56" s="75"/>
      <c r="J56" s="82"/>
      <c r="K56" s="83">
        <f t="shared" si="4"/>
        <v>0</v>
      </c>
      <c r="L56" s="116"/>
      <c r="M56" s="10"/>
    </row>
    <row r="57" spans="1:20" s="84" customFormat="1" ht="25" customHeight="1">
      <c r="B57" s="85" t="s">
        <v>33</v>
      </c>
      <c r="C57" s="86" t="str">
        <f t="array" ref="C57">SUM(b2_list_vCPU*b2_list_Antal_instanser)&amp;" st"</f>
        <v>0 st</v>
      </c>
      <c r="D57" s="86" t="str">
        <f t="array" ref="D57">SUM(b2_list_ram*b2_list_vCPU)&amp;" GB"</f>
        <v>0 GB</v>
      </c>
      <c r="E57" s="118" t="s">
        <v>47</v>
      </c>
      <c r="F57" s="86"/>
      <c r="G57" s="86"/>
      <c r="H57" s="86"/>
      <c r="I57" s="86" t="str">
        <f>SUM(I47:I56)&amp;" st"</f>
        <v>0 st</v>
      </c>
      <c r="J57" s="86"/>
      <c r="K57" s="88">
        <f>SUM(K47:K56)</f>
        <v>0</v>
      </c>
      <c r="M57" s="10"/>
      <c r="P57" s="89"/>
      <c r="R57" s="89"/>
    </row>
    <row r="58" spans="1:20" ht="25" customHeight="1">
      <c r="A58" s="41"/>
      <c r="B58" s="119"/>
      <c r="C58" s="120"/>
      <c r="D58" s="120"/>
      <c r="E58" s="120"/>
      <c r="F58" s="120"/>
      <c r="G58" s="93"/>
      <c r="H58" s="94"/>
      <c r="I58" s="121"/>
      <c r="J58" s="96"/>
      <c r="K58" s="97"/>
      <c r="M58" s="10"/>
      <c r="P58" s="53"/>
      <c r="Q58" s="53"/>
      <c r="R58" s="69"/>
    </row>
    <row r="59" spans="1:20" s="122" customFormat="1" ht="25" hidden="1" customHeight="1">
      <c r="B59" s="56" t="s">
        <v>48</v>
      </c>
      <c r="C59" s="58"/>
      <c r="D59" s="58"/>
      <c r="E59" s="58"/>
      <c r="F59" s="58"/>
      <c r="G59" s="58"/>
      <c r="H59" s="58"/>
      <c r="K59" s="123"/>
      <c r="L59" s="124"/>
      <c r="M59" s="10"/>
      <c r="R59" s="125"/>
      <c r="S59" s="125"/>
      <c r="T59" s="126"/>
    </row>
    <row r="60" spans="1:20" ht="25" hidden="1" customHeight="1">
      <c r="B60" s="537" t="s">
        <v>212</v>
      </c>
      <c r="C60" s="537"/>
      <c r="D60" s="537"/>
      <c r="E60" s="537"/>
      <c r="M60" s="10"/>
    </row>
    <row r="61" spans="1:20" s="127" customFormat="1" ht="25" hidden="1" customHeight="1">
      <c r="B61" s="64" t="s">
        <v>11</v>
      </c>
      <c r="C61" s="65" t="s">
        <v>50</v>
      </c>
      <c r="D61" s="65" t="s">
        <v>35</v>
      </c>
      <c r="E61" s="128" t="s">
        <v>51</v>
      </c>
      <c r="F61" s="108" t="s">
        <v>52</v>
      </c>
      <c r="G61" s="108" t="s">
        <v>15</v>
      </c>
      <c r="H61" s="66" t="s">
        <v>16</v>
      </c>
      <c r="I61" s="67" t="s">
        <v>17</v>
      </c>
      <c r="J61" s="65"/>
      <c r="K61" s="68" t="s">
        <v>18</v>
      </c>
      <c r="L61" s="129"/>
      <c r="M61" s="10"/>
      <c r="Q61" s="130"/>
      <c r="R61" s="130"/>
      <c r="S61" s="131"/>
    </row>
    <row r="62" spans="1:20" s="41" customFormat="1" ht="25" hidden="1" customHeight="1">
      <c r="B62" s="70" t="s">
        <v>53</v>
      </c>
      <c r="C62" s="71">
        <v>4</v>
      </c>
      <c r="D62" s="71">
        <v>16</v>
      </c>
      <c r="E62" s="72">
        <v>250</v>
      </c>
      <c r="F62" s="132">
        <v>1</v>
      </c>
      <c r="G62" s="133">
        <f t="shared" ref="G62:G65" si="5">H62/720</f>
        <v>9.6527777777777786</v>
      </c>
      <c r="H62" s="74">
        <f t="shared" ref="H62:H65" si="6">C62*IAAS_vcpu_SEK+D62*IAAS_ram_SEK+E62*IAAS_nvme_SEK+F62*IAAS_gpu_SEK</f>
        <v>6950</v>
      </c>
      <c r="I62" s="75"/>
      <c r="J62" s="134"/>
      <c r="K62" s="76">
        <f t="shared" ref="K62:K65" si="7">ROUNDUP(I62*H62,2)</f>
        <v>0</v>
      </c>
      <c r="M62" s="10"/>
      <c r="P62" s="53"/>
      <c r="R62" s="53"/>
    </row>
    <row r="63" spans="1:20" s="41" customFormat="1" ht="25" hidden="1" customHeight="1">
      <c r="B63" s="77" t="s">
        <v>54</v>
      </c>
      <c r="C63" s="78">
        <v>8</v>
      </c>
      <c r="D63" s="78">
        <v>32</v>
      </c>
      <c r="E63" s="79">
        <v>500</v>
      </c>
      <c r="F63" s="135">
        <v>2</v>
      </c>
      <c r="G63" s="136">
        <f t="shared" si="5"/>
        <v>19.305555555555557</v>
      </c>
      <c r="H63" s="81">
        <f t="shared" si="6"/>
        <v>13900</v>
      </c>
      <c r="I63" s="75"/>
      <c r="J63" s="40"/>
      <c r="K63" s="83">
        <f t="shared" si="7"/>
        <v>0</v>
      </c>
      <c r="M63" s="10"/>
      <c r="P63" s="53"/>
      <c r="R63" s="53"/>
    </row>
    <row r="64" spans="1:20" s="41" customFormat="1" ht="25" hidden="1" customHeight="1">
      <c r="B64" s="70" t="s">
        <v>55</v>
      </c>
      <c r="C64" s="71">
        <v>16</v>
      </c>
      <c r="D64" s="71">
        <v>64</v>
      </c>
      <c r="E64" s="72">
        <v>1000</v>
      </c>
      <c r="F64" s="132">
        <v>4</v>
      </c>
      <c r="G64" s="133">
        <f t="shared" si="5"/>
        <v>38.611111111111114</v>
      </c>
      <c r="H64" s="74">
        <f t="shared" si="6"/>
        <v>27800</v>
      </c>
      <c r="I64" s="75"/>
      <c r="J64" s="134"/>
      <c r="K64" s="76">
        <f t="shared" si="7"/>
        <v>0</v>
      </c>
      <c r="M64" s="10"/>
      <c r="P64" s="53"/>
      <c r="R64" s="53"/>
    </row>
    <row r="65" spans="2:20" s="41" customFormat="1" ht="25" hidden="1" customHeight="1">
      <c r="B65" s="77" t="s">
        <v>56</v>
      </c>
      <c r="C65" s="78">
        <v>32</v>
      </c>
      <c r="D65" s="78">
        <v>128</v>
      </c>
      <c r="E65" s="79">
        <v>1000</v>
      </c>
      <c r="F65" s="135">
        <v>6</v>
      </c>
      <c r="G65" s="136">
        <f t="shared" si="5"/>
        <v>60.555555555555557</v>
      </c>
      <c r="H65" s="81">
        <f t="shared" si="6"/>
        <v>43600</v>
      </c>
      <c r="I65" s="75"/>
      <c r="J65" s="40"/>
      <c r="K65" s="83">
        <f t="shared" si="7"/>
        <v>0</v>
      </c>
      <c r="M65" s="10"/>
      <c r="P65" s="53"/>
      <c r="R65" s="53"/>
    </row>
    <row r="66" spans="2:20" s="84" customFormat="1" ht="25" hidden="1" customHeight="1">
      <c r="B66" s="85" t="s">
        <v>33</v>
      </c>
      <c r="C66" s="86" t="str">
        <f t="array" ref="C66">SUM(I62:I65*C62:C65)&amp;" st"</f>
        <v>0 st</v>
      </c>
      <c r="D66" s="86" t="str">
        <f t="array" ref="D66">SUM(I62:I65*D62:D65)&amp;" GB"</f>
        <v>0 GB</v>
      </c>
      <c r="E66" s="87" t="str">
        <f t="array" ref="E66">SUM(I62:I65*E62:E65)&amp;" GB"</f>
        <v>0 GB</v>
      </c>
      <c r="F66" s="87" t="str">
        <f t="array" ref="F66">SUM(I62:I65*F62:F65)&amp;" st"</f>
        <v>0 st</v>
      </c>
      <c r="G66" s="86"/>
      <c r="H66" s="86"/>
      <c r="I66" s="86" t="str">
        <f>SUM(I62:I65)&amp;" st"</f>
        <v>0 st</v>
      </c>
      <c r="J66" s="86"/>
      <c r="K66" s="88">
        <f>SUM(K62:K65)</f>
        <v>0</v>
      </c>
      <c r="M66" s="10"/>
      <c r="P66" s="89"/>
      <c r="R66" s="89"/>
    </row>
    <row r="67" spans="2:20" s="41" customFormat="1" ht="25" hidden="1" customHeight="1">
      <c r="B67" s="119"/>
      <c r="C67" s="137"/>
      <c r="D67" s="137"/>
      <c r="E67" s="120"/>
      <c r="F67" s="137"/>
      <c r="G67" s="137"/>
      <c r="H67" s="54"/>
      <c r="I67" s="54"/>
      <c r="J67" s="54"/>
      <c r="K67" s="138"/>
      <c r="M67" s="10"/>
      <c r="P67" s="53"/>
      <c r="R67" s="53"/>
    </row>
    <row r="68" spans="2:20" s="41" customFormat="1" ht="25" hidden="1" customHeight="1">
      <c r="B68" s="119"/>
      <c r="C68" s="137"/>
      <c r="D68" s="137"/>
      <c r="E68" s="120"/>
      <c r="F68" s="137"/>
      <c r="G68" s="137"/>
      <c r="H68" s="54"/>
      <c r="I68" s="54"/>
      <c r="J68" s="54"/>
      <c r="K68" s="138"/>
      <c r="M68" s="10"/>
      <c r="P68" s="53"/>
      <c r="R68" s="53"/>
    </row>
    <row r="69" spans="2:20" s="55" customFormat="1" ht="25" hidden="1" customHeight="1">
      <c r="B69" s="56" t="s">
        <v>57</v>
      </c>
      <c r="C69" s="139"/>
      <c r="D69" s="139"/>
      <c r="E69" s="139"/>
      <c r="F69" s="139"/>
      <c r="G69" s="139"/>
      <c r="H69" s="54"/>
      <c r="I69" s="54"/>
      <c r="J69" s="54"/>
      <c r="K69" s="138"/>
      <c r="M69" s="10"/>
      <c r="N69" s="54"/>
      <c r="O69" s="54"/>
      <c r="P69" s="61"/>
      <c r="Q69" s="54"/>
      <c r="R69" s="62"/>
    </row>
    <row r="70" spans="2:20" ht="25" hidden="1" customHeight="1">
      <c r="B70" s="537" t="s">
        <v>212</v>
      </c>
      <c r="C70" s="537"/>
      <c r="D70" s="537"/>
      <c r="E70" s="537"/>
      <c r="M70" s="10"/>
    </row>
    <row r="71" spans="2:20" s="127" customFormat="1" ht="25" hidden="1" customHeight="1">
      <c r="B71" s="64" t="s">
        <v>11</v>
      </c>
      <c r="C71" s="65" t="s">
        <v>50</v>
      </c>
      <c r="D71" s="65" t="s">
        <v>35</v>
      </c>
      <c r="E71" s="108" t="s">
        <v>51</v>
      </c>
      <c r="F71" s="108" t="s">
        <v>15</v>
      </c>
      <c r="G71" s="66" t="s">
        <v>16</v>
      </c>
      <c r="H71" s="65"/>
      <c r="I71" s="67" t="s">
        <v>58</v>
      </c>
      <c r="J71" s="65"/>
      <c r="K71" s="68" t="s">
        <v>18</v>
      </c>
      <c r="L71" s="129"/>
      <c r="M71" s="10"/>
      <c r="Q71" s="130"/>
      <c r="R71" s="130"/>
      <c r="S71" s="131"/>
    </row>
    <row r="72" spans="2:20" s="41" customFormat="1" ht="25" hidden="1" customHeight="1">
      <c r="B72" s="140" t="s">
        <v>59</v>
      </c>
      <c r="C72" s="141">
        <v>16</v>
      </c>
      <c r="D72" s="141">
        <v>128</v>
      </c>
      <c r="E72" s="142">
        <v>3800</v>
      </c>
      <c r="F72" s="143">
        <f t="shared" ref="F72:F83" si="8">G72/720</f>
        <v>9.5</v>
      </c>
      <c r="G72" s="144">
        <f>INSTANCE_p1.2xlarge.16d_SEK</f>
        <v>6840</v>
      </c>
      <c r="H72" s="134"/>
      <c r="I72" s="75"/>
      <c r="J72" s="134"/>
      <c r="K72" s="76">
        <f t="shared" ref="K72:K74" si="9">ROUNDUP(I72*G72,2)</f>
        <v>0</v>
      </c>
      <c r="L72" s="54"/>
      <c r="M72" s="10"/>
    </row>
    <row r="73" spans="2:20" s="41" customFormat="1" ht="25" hidden="1" customHeight="1">
      <c r="B73" s="145" t="s">
        <v>60</v>
      </c>
      <c r="C73" s="146">
        <v>32</v>
      </c>
      <c r="D73" s="146">
        <v>256</v>
      </c>
      <c r="E73" s="147">
        <v>3800</v>
      </c>
      <c r="F73" s="148">
        <f t="shared" si="8"/>
        <v>19</v>
      </c>
      <c r="G73" s="149">
        <f>INSTANCE_p1.4xlarge.16d_SEK</f>
        <v>13680</v>
      </c>
      <c r="H73" s="40"/>
      <c r="I73" s="75"/>
      <c r="J73" s="40"/>
      <c r="K73" s="83">
        <f t="shared" si="9"/>
        <v>0</v>
      </c>
      <c r="L73" s="54"/>
      <c r="M73" s="10"/>
      <c r="S73" s="53"/>
    </row>
    <row r="74" spans="2:20" s="150" customFormat="1" ht="25" hidden="1" customHeight="1">
      <c r="B74" s="151" t="s">
        <v>61</v>
      </c>
      <c r="C74" s="152">
        <v>64</v>
      </c>
      <c r="D74" s="152">
        <v>512</v>
      </c>
      <c r="E74" s="153">
        <v>7600</v>
      </c>
      <c r="F74" s="154">
        <f t="shared" si="8"/>
        <v>38</v>
      </c>
      <c r="G74" s="144">
        <f>INSTANCE_p1.8xlarge.32d_SEK</f>
        <v>27360</v>
      </c>
      <c r="H74" s="134"/>
      <c r="I74" s="75"/>
      <c r="J74" s="134"/>
      <c r="K74" s="76">
        <f t="shared" si="9"/>
        <v>0</v>
      </c>
      <c r="L74" s="155"/>
      <c r="M74" s="10"/>
    </row>
    <row r="75" spans="2:20" s="84" customFormat="1" ht="25" hidden="1" customHeight="1">
      <c r="B75" s="85" t="s">
        <v>33</v>
      </c>
      <c r="C75" s="86" t="str">
        <f t="array" ref="C75">SUM(I72:I74*C72:C74)&amp;" st"</f>
        <v>0 st</v>
      </c>
      <c r="D75" s="86" t="str">
        <f t="array" ref="D75">SUM(I72:I74*D72:D74)&amp;" GB"</f>
        <v>0 GB</v>
      </c>
      <c r="E75" s="87" t="str">
        <f t="array" ref="E75">SUM(I72:I74*E72:E74)&amp;" GB"</f>
        <v>0 GB</v>
      </c>
      <c r="F75" s="86"/>
      <c r="G75" s="86"/>
      <c r="H75" s="86"/>
      <c r="I75" s="86" t="str">
        <f>SUM(I72:I74)&amp;" st"</f>
        <v>0 st</v>
      </c>
      <c r="J75" s="86"/>
      <c r="K75" s="88">
        <f>SUM(K72:K74)</f>
        <v>0</v>
      </c>
      <c r="M75" s="10"/>
      <c r="P75" s="89"/>
      <c r="R75" s="89"/>
    </row>
    <row r="76" spans="2:20" ht="25" customHeight="1">
      <c r="B76" s="156"/>
      <c r="C76" s="157"/>
      <c r="D76" s="157"/>
      <c r="E76" s="157"/>
      <c r="F76" s="157"/>
      <c r="G76" s="157"/>
      <c r="H76" s="150"/>
      <c r="I76" s="95"/>
      <c r="J76" s="95"/>
      <c r="K76" s="158"/>
      <c r="L76" s="121"/>
      <c r="M76" s="10"/>
    </row>
    <row r="77" spans="2:20" s="41" customFormat="1" ht="25" customHeight="1">
      <c r="B77" s="159"/>
      <c r="C77" s="137"/>
      <c r="D77" s="137"/>
      <c r="E77" s="137"/>
      <c r="F77" s="137"/>
      <c r="G77" s="137"/>
      <c r="H77" s="54"/>
      <c r="I77" s="54"/>
      <c r="J77" s="54"/>
      <c r="K77" s="138"/>
      <c r="L77" s="160"/>
      <c r="M77" s="10"/>
      <c r="Q77" s="53"/>
      <c r="S77" s="53"/>
    </row>
    <row r="78" spans="2:20" ht="25" customHeight="1">
      <c r="B78" s="56" t="s">
        <v>213</v>
      </c>
      <c r="C78" s="139"/>
      <c r="D78" s="139"/>
      <c r="E78" s="139"/>
      <c r="F78" s="139"/>
      <c r="G78" s="139"/>
      <c r="H78" s="54"/>
      <c r="I78" s="54"/>
      <c r="J78" s="54"/>
      <c r="K78" s="138"/>
      <c r="L78" s="160"/>
      <c r="M78" s="10"/>
      <c r="N78" s="41"/>
      <c r="O78" s="41"/>
      <c r="P78" s="41"/>
      <c r="Q78" s="41"/>
      <c r="R78" s="53"/>
      <c r="S78" s="41"/>
      <c r="T78" s="69"/>
    </row>
    <row r="79" spans="2:20" ht="25" customHeight="1">
      <c r="B79" s="161" t="s">
        <v>214</v>
      </c>
      <c r="M79" s="10"/>
    </row>
    <row r="80" spans="2:20" s="162" customFormat="1" ht="25" customHeight="1">
      <c r="B80" s="64" t="s">
        <v>11</v>
      </c>
      <c r="C80" s="163" t="s">
        <v>215</v>
      </c>
      <c r="D80" s="163"/>
      <c r="E80" s="163"/>
      <c r="F80" s="107" t="s">
        <v>15</v>
      </c>
      <c r="G80" s="66" t="s">
        <v>16</v>
      </c>
      <c r="H80" s="163"/>
      <c r="I80" s="164" t="s">
        <v>216</v>
      </c>
      <c r="J80" s="163"/>
      <c r="K80" s="165" t="s">
        <v>66</v>
      </c>
      <c r="L80" s="111"/>
      <c r="M80" s="10"/>
      <c r="N80" s="111"/>
      <c r="R80" s="166"/>
      <c r="S80" s="166"/>
      <c r="T80" s="167"/>
    </row>
    <row r="81" spans="2:26" s="41" customFormat="1" ht="25" customHeight="1">
      <c r="B81" s="140" t="s">
        <v>67</v>
      </c>
      <c r="C81" s="168" t="s">
        <v>68</v>
      </c>
      <c r="D81" s="169"/>
      <c r="E81" s="169"/>
      <c r="F81" s="170">
        <f t="shared" si="8"/>
        <v>1.6666666666666666E-3</v>
      </c>
      <c r="G81" s="143">
        <f>VOLUME_large_SEK</f>
        <v>1.2</v>
      </c>
      <c r="H81" s="171"/>
      <c r="I81" s="172"/>
      <c r="J81" s="173"/>
      <c r="K81" s="174">
        <f t="shared" ref="K81:K83" si="10">ROUNDUP(I81*G81,2)</f>
        <v>0</v>
      </c>
      <c r="L81" s="54"/>
      <c r="M81" s="10"/>
    </row>
    <row r="82" spans="2:26" s="41" customFormat="1" ht="25" customHeight="1">
      <c r="B82" s="145" t="s">
        <v>69</v>
      </c>
      <c r="C82" s="41" t="s">
        <v>70</v>
      </c>
      <c r="D82" s="150"/>
      <c r="E82" s="150"/>
      <c r="F82" s="175">
        <f t="shared" si="8"/>
        <v>5.0000000000000001E-3</v>
      </c>
      <c r="G82" s="148">
        <f>VOLUME_fast_SEK</f>
        <v>3.6</v>
      </c>
      <c r="H82" s="176"/>
      <c r="I82" s="177"/>
      <c r="J82" s="178"/>
      <c r="K82" s="179">
        <f t="shared" si="10"/>
        <v>0</v>
      </c>
      <c r="L82" s="54"/>
      <c r="M82" s="10"/>
      <c r="T82" s="53"/>
    </row>
    <row r="83" spans="2:26" s="41" customFormat="1" ht="25" customHeight="1">
      <c r="B83" s="140" t="s">
        <v>71</v>
      </c>
      <c r="C83" s="168" t="s">
        <v>72</v>
      </c>
      <c r="D83" s="169"/>
      <c r="E83" s="169"/>
      <c r="F83" s="170">
        <f t="shared" si="8"/>
        <v>1.6666666666666666E-3</v>
      </c>
      <c r="G83" s="143">
        <f>VOLUME_large_SEK</f>
        <v>1.2</v>
      </c>
      <c r="H83" s="180"/>
      <c r="I83" s="172"/>
      <c r="J83" s="173"/>
      <c r="K83" s="174">
        <f t="shared" si="10"/>
        <v>0</v>
      </c>
      <c r="L83" s="54"/>
      <c r="M83" s="10"/>
    </row>
    <row r="84" spans="2:26" s="84" customFormat="1" ht="25" customHeight="1">
      <c r="B84" s="85" t="s">
        <v>33</v>
      </c>
      <c r="C84" s="86"/>
      <c r="D84" s="86"/>
      <c r="E84" s="86"/>
      <c r="F84" s="86"/>
      <c r="G84" s="86"/>
      <c r="H84" s="86"/>
      <c r="I84" s="86" t="str">
        <f>SUM(I81:I83)&amp;" GB"</f>
        <v>0 GB</v>
      </c>
      <c r="J84" s="86"/>
      <c r="K84" s="88">
        <f>SUM(K81:K83)</f>
        <v>0</v>
      </c>
      <c r="M84" s="10"/>
      <c r="P84" s="89"/>
      <c r="R84" s="89"/>
    </row>
    <row r="85" spans="2:26" ht="25" customHeight="1">
      <c r="B85" s="156"/>
      <c r="C85" s="157"/>
      <c r="D85" s="157"/>
      <c r="E85" s="157"/>
      <c r="F85" s="157"/>
      <c r="G85" s="157"/>
      <c r="H85" s="150"/>
      <c r="I85" s="181"/>
      <c r="J85" s="181"/>
      <c r="K85" s="182"/>
      <c r="L85" s="183"/>
      <c r="M85" s="10"/>
    </row>
    <row r="86" spans="2:26" s="20" customFormat="1" ht="25" customHeight="1">
      <c r="B86" s="156"/>
      <c r="C86" s="157"/>
      <c r="D86" s="157"/>
      <c r="E86" s="157"/>
      <c r="F86" s="157"/>
      <c r="G86" s="157"/>
      <c r="H86" s="181"/>
      <c r="I86" s="181"/>
      <c r="J86" s="181"/>
      <c r="K86" s="184"/>
      <c r="L86" s="185"/>
      <c r="M86" s="10"/>
    </row>
    <row r="87" spans="2:26" s="20" customFormat="1" ht="25" customHeight="1">
      <c r="B87" s="534" t="s">
        <v>217</v>
      </c>
      <c r="C87" s="534"/>
      <c r="D87" s="534"/>
      <c r="E87" s="534"/>
      <c r="F87" s="534"/>
      <c r="G87" s="534"/>
      <c r="H87" s="37"/>
      <c r="J87" s="40"/>
      <c r="K87" s="38"/>
      <c r="M87" s="10"/>
    </row>
    <row r="88" spans="2:26" s="20" customFormat="1" ht="25" customHeight="1">
      <c r="B88" s="534"/>
      <c r="C88" s="534"/>
      <c r="D88" s="534"/>
      <c r="E88" s="534"/>
      <c r="F88" s="534"/>
      <c r="G88" s="534"/>
      <c r="H88" s="37"/>
      <c r="J88" s="40"/>
      <c r="K88" s="38"/>
      <c r="M88" s="10"/>
    </row>
    <row r="89" spans="2:26" s="20" customFormat="1" ht="25" customHeight="1">
      <c r="B89" s="534"/>
      <c r="C89" s="534"/>
      <c r="D89" s="534"/>
      <c r="E89" s="534"/>
      <c r="F89" s="534"/>
      <c r="G89" s="534"/>
      <c r="H89" s="37"/>
      <c r="J89" s="40"/>
      <c r="K89" s="38"/>
      <c r="M89" s="10"/>
    </row>
    <row r="90" spans="2:26" s="20" customFormat="1" ht="25" customHeight="1">
      <c r="B90" s="42" t="s">
        <v>218</v>
      </c>
      <c r="C90" s="42"/>
      <c r="D90" s="42"/>
      <c r="E90" s="42"/>
      <c r="F90" s="42"/>
      <c r="H90" s="37"/>
      <c r="J90" s="40"/>
      <c r="K90" s="38"/>
      <c r="M90" s="10"/>
    </row>
    <row r="91" spans="2:26" s="186" customFormat="1" ht="25" customHeight="1">
      <c r="B91" s="44" t="s">
        <v>219</v>
      </c>
      <c r="C91" s="44"/>
      <c r="D91" s="44"/>
      <c r="E91" s="44"/>
      <c r="F91" s="44"/>
      <c r="G91" s="187"/>
      <c r="H91" s="188"/>
      <c r="I91" s="187"/>
      <c r="J91" s="189"/>
      <c r="K91" s="190"/>
      <c r="L91" s="187"/>
      <c r="M91" s="10"/>
    </row>
    <row r="92" spans="2:26" s="20" customFormat="1" ht="25" customHeight="1">
      <c r="B92" s="380" t="s">
        <v>207</v>
      </c>
      <c r="C92" s="381"/>
      <c r="D92" s="381"/>
      <c r="E92" s="52"/>
      <c r="F92" s="52"/>
      <c r="G92" s="45"/>
      <c r="H92" s="46"/>
      <c r="I92" s="45"/>
      <c r="J92" s="47"/>
      <c r="K92" s="48"/>
      <c r="L92" s="49"/>
      <c r="M92" s="10"/>
      <c r="S92" s="41"/>
      <c r="T92" s="41"/>
      <c r="U92" s="41"/>
      <c r="V92" s="41"/>
      <c r="W92" s="53"/>
      <c r="X92" s="54"/>
      <c r="Y92" s="41"/>
      <c r="Z92" s="41"/>
    </row>
    <row r="93" spans="2:26" s="41" customFormat="1" ht="25" customHeight="1">
      <c r="B93" s="159"/>
      <c r="C93" s="137"/>
      <c r="D93" s="137"/>
      <c r="E93" s="137"/>
      <c r="F93" s="137"/>
      <c r="G93" s="137"/>
      <c r="H93" s="54"/>
      <c r="I93" s="54"/>
      <c r="J93" s="54"/>
      <c r="K93" s="138"/>
      <c r="L93" s="160"/>
      <c r="M93" s="10"/>
      <c r="R93" s="53"/>
      <c r="T93" s="53"/>
    </row>
    <row r="94" spans="2:26" s="20" customFormat="1" ht="25" customHeight="1">
      <c r="B94" s="64" t="s">
        <v>11</v>
      </c>
      <c r="C94" s="192"/>
      <c r="D94" s="66"/>
      <c r="E94" s="66"/>
      <c r="F94" s="163"/>
      <c r="G94" s="66" t="s">
        <v>220</v>
      </c>
      <c r="H94" s="163"/>
      <c r="I94" s="164" t="s">
        <v>221</v>
      </c>
      <c r="J94" s="66"/>
      <c r="K94" s="165" t="s">
        <v>77</v>
      </c>
      <c r="L94" s="49"/>
      <c r="M94" s="10"/>
      <c r="N94" s="41"/>
    </row>
    <row r="95" spans="2:26" s="193" customFormat="1" ht="25" customHeight="1">
      <c r="B95" s="70" t="s">
        <v>78</v>
      </c>
      <c r="C95" s="169"/>
      <c r="D95" s="195"/>
      <c r="E95" s="195"/>
      <c r="F95" s="196"/>
      <c r="G95" s="197">
        <f>S3_archive.50_SEK</f>
        <v>350</v>
      </c>
      <c r="H95" s="196"/>
      <c r="I95" s="198"/>
      <c r="J95" s="199"/>
      <c r="K95" s="200">
        <f t="shared" ref="K95:K96" si="11">I95*G95</f>
        <v>0</v>
      </c>
      <c r="L95" s="201"/>
      <c r="M95" s="10"/>
      <c r="N95" s="150"/>
    </row>
    <row r="96" spans="2:26" s="41" customFormat="1" ht="25" customHeight="1">
      <c r="B96" s="145" t="s">
        <v>80</v>
      </c>
      <c r="D96" s="150"/>
      <c r="E96" s="150"/>
      <c r="F96" s="176"/>
      <c r="G96" s="202">
        <f>S3_storage50_SEK</f>
        <v>500</v>
      </c>
      <c r="H96" s="203"/>
      <c r="I96" s="204"/>
      <c r="J96" s="178"/>
      <c r="K96" s="179">
        <f t="shared" si="11"/>
        <v>0</v>
      </c>
      <c r="L96" s="54"/>
      <c r="M96" s="10"/>
      <c r="T96" s="53"/>
    </row>
    <row r="97" spans="2:19" s="84" customFormat="1" ht="25" customHeight="1">
      <c r="B97" s="85" t="s">
        <v>33</v>
      </c>
      <c r="C97" s="86"/>
      <c r="D97" s="86"/>
      <c r="E97" s="86"/>
      <c r="F97" s="86"/>
      <c r="G97" s="86"/>
      <c r="H97" s="86"/>
      <c r="I97" s="86"/>
      <c r="J97" s="86"/>
      <c r="K97" s="88">
        <f>SUM(K95:K96)</f>
        <v>0</v>
      </c>
      <c r="M97" s="10"/>
      <c r="P97" s="89"/>
      <c r="R97" s="89"/>
    </row>
    <row r="98" spans="2:19" ht="25" customHeight="1">
      <c r="B98" s="98"/>
      <c r="C98" s="99"/>
      <c r="D98" s="99"/>
      <c r="E98" s="99"/>
      <c r="F98" s="99"/>
      <c r="G98" s="100"/>
      <c r="H98" s="101"/>
      <c r="I98" s="101"/>
      <c r="M98" s="10"/>
      <c r="N98" s="53"/>
      <c r="O98" s="53"/>
      <c r="P98" s="69"/>
    </row>
    <row r="99" spans="2:19" s="122" customFormat="1" ht="25" hidden="1" customHeight="1">
      <c r="B99" s="205" t="s">
        <v>82</v>
      </c>
      <c r="C99" s="206"/>
      <c r="D99" s="206"/>
      <c r="E99" s="206"/>
      <c r="F99" s="206"/>
      <c r="G99" s="206"/>
      <c r="H99" s="207"/>
      <c r="I99" s="207"/>
      <c r="J99" s="207"/>
      <c r="K99" s="138"/>
      <c r="M99" s="10"/>
      <c r="N99" s="207"/>
      <c r="O99" s="207"/>
      <c r="P99" s="125"/>
      <c r="Q99" s="207"/>
      <c r="R99" s="126"/>
    </row>
    <row r="100" spans="2:19" s="20" customFormat="1" ht="25" hidden="1" customHeight="1">
      <c r="B100" s="64" t="s">
        <v>11</v>
      </c>
      <c r="C100" s="192" t="s">
        <v>76</v>
      </c>
      <c r="D100" s="538" t="s">
        <v>83</v>
      </c>
      <c r="E100" s="538"/>
      <c r="F100" s="538"/>
      <c r="G100" s="538"/>
      <c r="H100" s="538"/>
      <c r="I100" s="538"/>
      <c r="J100" s="66"/>
      <c r="K100" s="165"/>
      <c r="L100" s="49"/>
      <c r="M100" s="10"/>
      <c r="N100" s="41"/>
    </row>
    <row r="101" spans="2:19" s="193" customFormat="1" ht="25" hidden="1" customHeight="1">
      <c r="B101" s="151" t="s">
        <v>84</v>
      </c>
      <c r="C101" s="208"/>
      <c r="D101" s="209"/>
      <c r="E101" s="210">
        <f t="array" ref="E101">_xlfn.IFS(H101&lt;50,D102,H101&lt;100,D103,H101&lt;500,D104,H101&lt;1000,D105,H101&gt;999,D106)</f>
        <v>185</v>
      </c>
      <c r="F101" s="210"/>
      <c r="G101" s="210"/>
      <c r="H101" s="211">
        <v>600</v>
      </c>
      <c r="I101" s="212" t="s">
        <v>85</v>
      </c>
      <c r="J101" s="213"/>
      <c r="K101" s="214">
        <f t="array" ref="K101">_xlfn.IFS(H101&lt;1000,ROUNDUP(H101*E101,2),H101&gt;999,E101)</f>
        <v>111000</v>
      </c>
      <c r="L101" s="201"/>
      <c r="M101" s="10"/>
      <c r="N101" s="150"/>
    </row>
    <row r="102" spans="2:19" s="20" customFormat="1" ht="25" hidden="1" customHeight="1">
      <c r="B102" s="215" t="s">
        <v>84</v>
      </c>
      <c r="C102" s="216" t="s">
        <v>86</v>
      </c>
      <c r="D102" s="539">
        <f>S3_archive.50_SEK</f>
        <v>350</v>
      </c>
      <c r="E102" s="539"/>
      <c r="F102" s="539"/>
      <c r="G102" s="539"/>
      <c r="H102" s="539"/>
      <c r="I102" s="539"/>
      <c r="J102" s="217"/>
      <c r="K102" s="218"/>
      <c r="L102" s="49"/>
      <c r="M102" s="10"/>
      <c r="N102" s="41"/>
    </row>
    <row r="103" spans="2:19" s="20" customFormat="1" ht="25" hidden="1" customHeight="1">
      <c r="B103" s="219" t="s">
        <v>84</v>
      </c>
      <c r="C103" s="220" t="s">
        <v>87</v>
      </c>
      <c r="D103" s="540">
        <f>S3_archive.100_SEK</f>
        <v>270</v>
      </c>
      <c r="E103" s="540"/>
      <c r="F103" s="540"/>
      <c r="G103" s="540"/>
      <c r="H103" s="540"/>
      <c r="I103" s="540"/>
      <c r="J103" s="221"/>
      <c r="K103" s="222"/>
      <c r="L103" s="49"/>
      <c r="M103" s="10"/>
      <c r="N103" s="41"/>
    </row>
    <row r="104" spans="2:19" s="20" customFormat="1" ht="25" hidden="1" customHeight="1">
      <c r="B104" s="215" t="s">
        <v>84</v>
      </c>
      <c r="C104" s="216" t="s">
        <v>88</v>
      </c>
      <c r="D104" s="541">
        <f>S3_archive.500_SEK</f>
        <v>200</v>
      </c>
      <c r="E104" s="541"/>
      <c r="F104" s="541"/>
      <c r="G104" s="541"/>
      <c r="H104" s="541"/>
      <c r="I104" s="541"/>
      <c r="J104" s="223"/>
      <c r="K104" s="224"/>
      <c r="L104" s="49"/>
      <c r="M104" s="10"/>
      <c r="N104" s="41"/>
    </row>
    <row r="105" spans="2:19" s="20" customFormat="1" ht="25" hidden="1" customHeight="1">
      <c r="B105" s="219" t="s">
        <v>84</v>
      </c>
      <c r="C105" s="220" t="s">
        <v>89</v>
      </c>
      <c r="D105" s="540">
        <f>S3_archive.1000_SEK</f>
        <v>185</v>
      </c>
      <c r="E105" s="540"/>
      <c r="F105" s="540"/>
      <c r="G105" s="540"/>
      <c r="H105" s="540"/>
      <c r="I105" s="540"/>
      <c r="J105" s="221"/>
      <c r="K105" s="222"/>
      <c r="L105" s="49"/>
      <c r="M105" s="10"/>
      <c r="N105" s="41"/>
    </row>
    <row r="106" spans="2:19" s="20" customFormat="1" ht="25" hidden="1" customHeight="1">
      <c r="B106" s="225" t="s">
        <v>84</v>
      </c>
      <c r="C106" s="226" t="s">
        <v>90</v>
      </c>
      <c r="D106" s="542" t="str">
        <f>S3_archive.quote_SEK</f>
        <v>Be om offert</v>
      </c>
      <c r="E106" s="542"/>
      <c r="F106" s="542"/>
      <c r="G106" s="542"/>
      <c r="H106" s="542"/>
      <c r="I106" s="542"/>
      <c r="J106" s="227"/>
      <c r="K106" s="228"/>
      <c r="L106" s="49"/>
      <c r="M106" s="10"/>
      <c r="N106" s="41"/>
    </row>
    <row r="107" spans="2:19" s="20" customFormat="1" ht="25" hidden="1" customHeight="1">
      <c r="B107" s="119" t="s">
        <v>91</v>
      </c>
      <c r="C107" s="120"/>
      <c r="D107" s="120"/>
      <c r="E107" s="120"/>
      <c r="F107" s="93"/>
      <c r="G107" s="93"/>
      <c r="H107" s="94"/>
      <c r="I107" s="94"/>
      <c r="J107" s="92"/>
      <c r="K107" s="97">
        <f>K101</f>
        <v>111000</v>
      </c>
      <c r="L107" s="49"/>
      <c r="M107" s="10"/>
      <c r="N107" s="41"/>
    </row>
    <row r="108" spans="2:19" s="127" customFormat="1" ht="25" customHeight="1">
      <c r="B108" s="44"/>
      <c r="C108" s="120"/>
      <c r="D108" s="52"/>
      <c r="E108" s="52"/>
      <c r="F108" s="52"/>
      <c r="G108" s="45"/>
      <c r="H108" s="46"/>
      <c r="I108" s="94"/>
      <c r="J108" s="191"/>
      <c r="K108" s="48"/>
      <c r="L108" s="49"/>
      <c r="M108" s="10"/>
      <c r="N108" s="162"/>
      <c r="O108" s="162"/>
      <c r="P108" s="162"/>
      <c r="Q108" s="162"/>
      <c r="R108" s="162"/>
      <c r="S108" s="162"/>
    </row>
    <row r="109" spans="2:19" ht="25" customHeight="1">
      <c r="B109" s="229"/>
      <c r="C109" s="230"/>
      <c r="D109" s="230"/>
      <c r="E109" s="230"/>
      <c r="F109" s="231"/>
      <c r="G109" s="232"/>
      <c r="H109" s="181"/>
      <c r="I109" s="181"/>
      <c r="J109" s="181"/>
      <c r="K109" s="182"/>
      <c r="L109" s="183"/>
      <c r="M109" s="10"/>
      <c r="N109" s="41"/>
      <c r="Q109" s="20"/>
    </row>
    <row r="110" spans="2:19" s="20" customFormat="1" ht="25" customHeight="1">
      <c r="B110" s="534" t="s">
        <v>222</v>
      </c>
      <c r="C110" s="534"/>
      <c r="D110" s="534"/>
      <c r="E110" s="534"/>
      <c r="F110" s="534"/>
      <c r="G110" s="534"/>
      <c r="H110" s="37"/>
      <c r="J110" s="40"/>
      <c r="K110" s="38"/>
      <c r="L110" s="40"/>
      <c r="M110" s="10"/>
    </row>
    <row r="111" spans="2:19" s="20" customFormat="1" ht="25" customHeight="1">
      <c r="B111" s="534"/>
      <c r="C111" s="534"/>
      <c r="D111" s="534"/>
      <c r="E111" s="534"/>
      <c r="F111" s="534"/>
      <c r="G111" s="534"/>
      <c r="H111" s="37"/>
      <c r="J111" s="40"/>
      <c r="K111" s="38"/>
      <c r="L111" s="40"/>
      <c r="M111" s="10"/>
    </row>
    <row r="112" spans="2:19" s="20" customFormat="1" ht="25" customHeight="1">
      <c r="B112" s="534"/>
      <c r="C112" s="534"/>
      <c r="D112" s="534"/>
      <c r="E112" s="534"/>
      <c r="F112" s="534"/>
      <c r="G112" s="534"/>
      <c r="H112" s="37"/>
      <c r="J112" s="40"/>
      <c r="K112" s="38"/>
      <c r="L112" s="40"/>
      <c r="M112" s="10"/>
    </row>
    <row r="113" spans="2:32" s="20" customFormat="1" ht="25" customHeight="1">
      <c r="B113" s="42" t="s">
        <v>223</v>
      </c>
      <c r="C113" s="42"/>
      <c r="D113" s="42"/>
      <c r="E113" s="42"/>
      <c r="F113" s="42"/>
      <c r="H113" s="37"/>
      <c r="J113" s="40"/>
      <c r="K113" s="38"/>
      <c r="L113" s="40"/>
      <c r="M113" s="10"/>
    </row>
    <row r="114" spans="2:32" s="20" customFormat="1" ht="25" customHeight="1">
      <c r="B114" s="535" t="s">
        <v>206</v>
      </c>
      <c r="C114" s="535"/>
      <c r="D114" s="535"/>
      <c r="E114" s="535"/>
      <c r="F114" s="535"/>
      <c r="G114" s="45"/>
      <c r="H114" s="46"/>
      <c r="J114" s="47"/>
      <c r="K114" s="48"/>
      <c r="L114" s="49"/>
      <c r="M114" s="10"/>
      <c r="S114" s="41"/>
      <c r="T114" s="41"/>
      <c r="U114" s="41"/>
      <c r="V114" s="41"/>
      <c r="W114" s="41"/>
      <c r="X114" s="41"/>
      <c r="Y114" s="41"/>
      <c r="Z114" s="41"/>
    </row>
    <row r="115" spans="2:32" s="20" customFormat="1" ht="25" customHeight="1">
      <c r="B115" s="380" t="s">
        <v>207</v>
      </c>
      <c r="C115" s="381"/>
      <c r="D115" s="381"/>
      <c r="E115" s="52"/>
      <c r="F115" s="52"/>
      <c r="G115" s="45"/>
      <c r="H115" s="46"/>
      <c r="I115" s="45"/>
      <c r="J115" s="47"/>
      <c r="K115" s="48"/>
      <c r="L115" s="49"/>
      <c r="M115" s="10"/>
      <c r="S115" s="41"/>
      <c r="T115" s="41"/>
      <c r="U115" s="41"/>
      <c r="V115" s="41"/>
      <c r="W115" s="53"/>
      <c r="X115" s="54"/>
      <c r="Y115" s="41"/>
      <c r="Z115" s="41"/>
    </row>
    <row r="116" spans="2:32" s="127" customFormat="1" ht="25" customHeight="1">
      <c r="B116" s="233"/>
      <c r="C116" s="54"/>
      <c r="D116" s="54"/>
      <c r="E116" s="54"/>
      <c r="F116" s="54"/>
      <c r="G116" s="54"/>
      <c r="H116" s="54"/>
      <c r="I116" s="54"/>
      <c r="J116" s="54"/>
      <c r="K116" s="138"/>
      <c r="L116" s="54"/>
      <c r="M116" s="10"/>
      <c r="P116" s="162"/>
      <c r="Q116" s="162"/>
      <c r="R116" s="162"/>
      <c r="S116" s="162"/>
      <c r="T116" s="162"/>
      <c r="U116" s="162"/>
    </row>
    <row r="117" spans="2:32" ht="25" customHeight="1">
      <c r="B117" s="64" t="s">
        <v>11</v>
      </c>
      <c r="C117" s="234"/>
      <c r="D117" s="234"/>
      <c r="E117" s="163" t="s">
        <v>224</v>
      </c>
      <c r="F117" s="234"/>
      <c r="G117" s="163" t="s">
        <v>225</v>
      </c>
      <c r="H117" s="163"/>
      <c r="I117" s="164" t="s">
        <v>216</v>
      </c>
      <c r="J117" s="164" t="s">
        <v>226</v>
      </c>
      <c r="K117" s="165" t="s">
        <v>100</v>
      </c>
      <c r="L117" s="160"/>
      <c r="M117" s="10"/>
    </row>
    <row r="118" spans="2:32" ht="25" customHeight="1">
      <c r="B118" s="140" t="s">
        <v>101</v>
      </c>
      <c r="C118" s="169"/>
      <c r="D118" s="169"/>
      <c r="E118" s="235" t="s">
        <v>47</v>
      </c>
      <c r="F118" s="173"/>
      <c r="G118" s="236">
        <f>BAAS_on.demand_SEK</f>
        <v>2.4500000000000002</v>
      </c>
      <c r="H118" s="173"/>
      <c r="I118" s="198"/>
      <c r="J118" s="237" t="s">
        <v>47</v>
      </c>
      <c r="K118" s="174">
        <f>ROUNDUP(I118*G118,2)</f>
        <v>0</v>
      </c>
      <c r="L118" s="160"/>
      <c r="M118" s="10"/>
    </row>
    <row r="119" spans="2:32" ht="25" customHeight="1">
      <c r="B119" s="145" t="s">
        <v>102</v>
      </c>
      <c r="C119" s="150"/>
      <c r="D119" s="150"/>
      <c r="E119" s="238">
        <v>5500</v>
      </c>
      <c r="F119" s="178"/>
      <c r="G119" s="116">
        <f>BAAS_small_SEK</f>
        <v>1.75</v>
      </c>
      <c r="H119" s="178"/>
      <c r="I119" s="239"/>
      <c r="J119" s="240">
        <v>0.75</v>
      </c>
      <c r="K119" s="179">
        <f>IF(I119&gt;0,$E$119+($G$119*(I119*(1-$J$119))),0)</f>
        <v>0</v>
      </c>
      <c r="L119" s="160"/>
      <c r="M119" s="10"/>
    </row>
    <row r="120" spans="2:32" s="241" customFormat="1" ht="25" customHeight="1">
      <c r="B120" s="151" t="s">
        <v>103</v>
      </c>
      <c r="C120" s="208"/>
      <c r="D120" s="208"/>
      <c r="E120" s="242">
        <v>9500</v>
      </c>
      <c r="F120" s="212"/>
      <c r="G120" s="236">
        <f>BAAS_large_SEK</f>
        <v>0.92</v>
      </c>
      <c r="H120" s="212"/>
      <c r="I120" s="211"/>
      <c r="J120" s="243">
        <v>0.75</v>
      </c>
      <c r="K120" s="214">
        <f>IF(I120&gt;0,$E$120+($G$120*(I120*(1-$J$120))),0)</f>
        <v>0</v>
      </c>
      <c r="L120" s="160"/>
      <c r="M120" s="10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2:32" s="84" customFormat="1" ht="25" customHeight="1">
      <c r="B121" s="85" t="s">
        <v>33</v>
      </c>
      <c r="C121" s="86"/>
      <c r="D121" s="86"/>
      <c r="E121" s="86"/>
      <c r="F121" s="86"/>
      <c r="G121" s="86"/>
      <c r="H121" s="86"/>
      <c r="I121" s="86" t="str">
        <f>SUM(I118:I120)&amp;" GB"</f>
        <v>0 GB</v>
      </c>
      <c r="J121" s="86"/>
      <c r="K121" s="88">
        <f>SUM(K118:K120)</f>
        <v>0</v>
      </c>
      <c r="M121" s="10"/>
      <c r="P121" s="89"/>
      <c r="R121" s="89"/>
    </row>
    <row r="122" spans="2:32" s="241" customFormat="1" ht="25" customHeight="1">
      <c r="B122" s="119"/>
      <c r="C122" s="120"/>
      <c r="D122" s="120"/>
      <c r="E122" s="120"/>
      <c r="F122" s="244"/>
      <c r="G122" s="94"/>
      <c r="H122" s="94"/>
      <c r="I122" s="94"/>
      <c r="J122" s="94"/>
      <c r="K122" s="245"/>
      <c r="L122" s="92"/>
      <c r="M122" s="10"/>
      <c r="O122" s="246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2:32" ht="25" customHeight="1">
      <c r="B123" s="229"/>
      <c r="C123" s="230"/>
      <c r="D123" s="230"/>
      <c r="E123" s="230"/>
      <c r="F123" s="231"/>
      <c r="G123" s="232"/>
      <c r="H123" s="181"/>
      <c r="I123" s="181"/>
      <c r="J123" s="181"/>
      <c r="K123" s="182"/>
      <c r="L123" s="201"/>
      <c r="M123" s="10"/>
      <c r="N123" s="41"/>
    </row>
    <row r="124" spans="2:32" ht="25" hidden="1" customHeight="1">
      <c r="B124" s="229"/>
      <c r="C124" s="230"/>
      <c r="D124" s="230"/>
      <c r="E124" s="230"/>
      <c r="F124" s="231"/>
      <c r="G124" s="232"/>
      <c r="H124" s="181"/>
      <c r="I124" s="181"/>
      <c r="J124" s="181"/>
      <c r="K124" s="182"/>
      <c r="L124" s="183"/>
      <c r="M124" s="10"/>
      <c r="N124" s="41"/>
      <c r="Q124" s="20"/>
    </row>
    <row r="125" spans="2:32" s="20" customFormat="1" ht="25" hidden="1" customHeight="1">
      <c r="B125" s="534" t="s">
        <v>104</v>
      </c>
      <c r="C125" s="534"/>
      <c r="D125" s="534"/>
      <c r="E125" s="534"/>
      <c r="F125" s="534"/>
      <c r="G125" s="534"/>
      <c r="H125" s="37"/>
      <c r="J125" s="40"/>
      <c r="K125" s="38"/>
      <c r="L125" s="40"/>
      <c r="M125" s="10"/>
    </row>
    <row r="126" spans="2:32" s="20" customFormat="1" ht="25" hidden="1" customHeight="1">
      <c r="B126" s="534"/>
      <c r="C126" s="534"/>
      <c r="D126" s="534"/>
      <c r="E126" s="534"/>
      <c r="F126" s="534"/>
      <c r="G126" s="534"/>
      <c r="H126" s="37"/>
      <c r="J126" s="40"/>
      <c r="K126" s="38"/>
      <c r="L126" s="40"/>
      <c r="M126" s="10"/>
    </row>
    <row r="127" spans="2:32" s="20" customFormat="1" ht="25" hidden="1" customHeight="1">
      <c r="B127" s="534"/>
      <c r="C127" s="534"/>
      <c r="D127" s="534"/>
      <c r="E127" s="534"/>
      <c r="F127" s="534"/>
      <c r="G127" s="534"/>
      <c r="H127" s="37"/>
      <c r="J127" s="40"/>
      <c r="K127" s="38"/>
      <c r="L127" s="40"/>
      <c r="M127" s="10"/>
    </row>
    <row r="128" spans="2:32" s="20" customFormat="1" ht="25" hidden="1" customHeight="1">
      <c r="B128" s="42" t="s">
        <v>227</v>
      </c>
      <c r="C128" s="247"/>
      <c r="D128" s="247"/>
      <c r="E128" s="247"/>
      <c r="F128" s="247"/>
      <c r="H128" s="37"/>
      <c r="J128" s="40"/>
      <c r="K128" s="38"/>
      <c r="L128" s="40"/>
      <c r="M128" s="10"/>
    </row>
    <row r="129" spans="2:32" s="20" customFormat="1" ht="25" hidden="1" customHeight="1">
      <c r="B129" s="535" t="s">
        <v>228</v>
      </c>
      <c r="C129" s="535"/>
      <c r="D129" s="535"/>
      <c r="E129" s="535"/>
      <c r="F129" s="535"/>
      <c r="G129" s="45"/>
      <c r="H129" s="46"/>
      <c r="J129" s="47"/>
      <c r="K129" s="48"/>
      <c r="L129" s="49"/>
      <c r="M129" s="10"/>
      <c r="S129" s="41"/>
      <c r="T129" s="41"/>
      <c r="U129" s="41"/>
      <c r="V129" s="41"/>
      <c r="W129" s="41"/>
      <c r="X129" s="41"/>
      <c r="Y129" s="41"/>
      <c r="Z129" s="41"/>
    </row>
    <row r="130" spans="2:32" s="20" customFormat="1" ht="25" hidden="1" customHeight="1">
      <c r="B130" s="380" t="s">
        <v>229</v>
      </c>
      <c r="C130" s="381"/>
      <c r="D130" s="381"/>
      <c r="E130" s="381"/>
      <c r="F130" s="52"/>
      <c r="G130" s="45"/>
      <c r="H130" s="46"/>
      <c r="I130" s="45"/>
      <c r="J130" s="47"/>
      <c r="K130" s="48"/>
      <c r="L130" s="49"/>
      <c r="M130" s="10"/>
      <c r="S130" s="41"/>
      <c r="T130" s="41"/>
      <c r="U130" s="41"/>
      <c r="V130" s="41"/>
      <c r="W130" s="53"/>
      <c r="X130" s="54"/>
      <c r="Y130" s="41"/>
      <c r="Z130" s="41"/>
    </row>
    <row r="131" spans="2:32" s="127" customFormat="1" ht="25" hidden="1" customHeight="1">
      <c r="B131" s="233"/>
      <c r="C131" s="54"/>
      <c r="D131" s="54"/>
      <c r="E131" s="54"/>
      <c r="F131" s="54"/>
      <c r="G131" s="54"/>
      <c r="H131" s="54"/>
      <c r="I131" s="54"/>
      <c r="J131" s="54"/>
      <c r="K131" s="138"/>
      <c r="L131" s="54"/>
      <c r="M131" s="10"/>
      <c r="P131" s="162"/>
      <c r="Q131" s="162"/>
      <c r="R131" s="162"/>
      <c r="S131" s="162"/>
      <c r="T131" s="162"/>
      <c r="U131" s="162"/>
    </row>
    <row r="132" spans="2:32" ht="25" hidden="1" customHeight="1">
      <c r="B132" s="64" t="s">
        <v>11</v>
      </c>
      <c r="C132" s="543" t="s">
        <v>230</v>
      </c>
      <c r="D132" s="543"/>
      <c r="E132" s="543" t="s">
        <v>231</v>
      </c>
      <c r="F132" s="543"/>
      <c r="G132" s="543" t="s">
        <v>224</v>
      </c>
      <c r="H132" s="543"/>
      <c r="I132" s="163"/>
      <c r="J132" s="163"/>
      <c r="K132" s="165" t="s">
        <v>109</v>
      </c>
      <c r="L132" s="160"/>
      <c r="M132" s="10"/>
    </row>
    <row r="133" spans="2:32" ht="25" hidden="1" customHeight="1">
      <c r="B133" s="248" t="s">
        <v>110</v>
      </c>
      <c r="C133" s="544" t="s">
        <v>111</v>
      </c>
      <c r="D133" s="544"/>
      <c r="E133" s="545" t="s">
        <v>232</v>
      </c>
      <c r="F133" s="545"/>
      <c r="G133" s="546">
        <v>15000</v>
      </c>
      <c r="H133" s="547"/>
      <c r="I133" s="198"/>
      <c r="J133" s="249">
        <v>2</v>
      </c>
      <c r="K133" s="250" t="str">
        <f>IF(J133=1,G133," ")</f>
        <v xml:space="preserve"> </v>
      </c>
      <c r="L133" s="160"/>
      <c r="M133" s="10"/>
    </row>
    <row r="134" spans="2:32" ht="25" hidden="1" customHeight="1">
      <c r="B134" s="145" t="s">
        <v>113</v>
      </c>
      <c r="C134" s="551" t="s">
        <v>233</v>
      </c>
      <c r="D134" s="551"/>
      <c r="E134" s="552" t="s">
        <v>234</v>
      </c>
      <c r="F134" s="552"/>
      <c r="G134" s="553">
        <v>24000</v>
      </c>
      <c r="H134" s="554"/>
      <c r="I134" s="204"/>
      <c r="J134" s="178"/>
      <c r="K134" s="251" t="str">
        <f>IF(J133=3,G134," ")</f>
        <v xml:space="preserve"> </v>
      </c>
      <c r="L134" s="160"/>
      <c r="M134" s="10"/>
    </row>
    <row r="135" spans="2:32" s="84" customFormat="1" ht="25" hidden="1" customHeight="1">
      <c r="B135" s="85" t="s">
        <v>33</v>
      </c>
      <c r="C135" s="86"/>
      <c r="D135" s="86"/>
      <c r="E135" s="86"/>
      <c r="F135" s="86"/>
      <c r="G135" s="86"/>
      <c r="H135" s="86"/>
      <c r="I135" s="86"/>
      <c r="J135" s="86"/>
      <c r="K135" s="88">
        <f>SUM(K133:K134)</f>
        <v>0</v>
      </c>
      <c r="M135" s="10"/>
      <c r="P135" s="89"/>
      <c r="R135" s="89"/>
    </row>
    <row r="136" spans="2:32" s="241" customFormat="1" ht="25" hidden="1" customHeight="1">
      <c r="B136" s="119"/>
      <c r="C136" s="94"/>
      <c r="D136" s="93"/>
      <c r="E136" s="93"/>
      <c r="F136" s="93"/>
      <c r="G136" s="94"/>
      <c r="H136" s="94"/>
      <c r="I136" s="94"/>
      <c r="J136" s="94"/>
      <c r="K136" s="97"/>
      <c r="L136" s="160"/>
      <c r="M136" s="10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2:32" s="241" customFormat="1" ht="25" customHeight="1">
      <c r="B137" s="119"/>
      <c r="C137" s="120"/>
      <c r="D137" s="120"/>
      <c r="E137" s="120"/>
      <c r="F137" s="93"/>
      <c r="G137" s="94"/>
      <c r="H137" s="94"/>
      <c r="I137" s="94"/>
      <c r="J137" s="94"/>
      <c r="K137" s="245"/>
      <c r="L137" s="92"/>
      <c r="M137" s="10"/>
      <c r="O137" s="246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2:32" s="127" customFormat="1" ht="25" customHeight="1">
      <c r="B138" s="44"/>
      <c r="C138" s="120"/>
      <c r="D138" s="52"/>
      <c r="E138" s="52"/>
      <c r="F138" s="52"/>
      <c r="G138" s="45"/>
      <c r="H138" s="46"/>
      <c r="I138" s="45"/>
      <c r="J138" s="191"/>
      <c r="K138" s="48"/>
      <c r="L138" s="49"/>
      <c r="M138" s="10"/>
      <c r="N138" s="162"/>
      <c r="O138" s="162"/>
      <c r="P138" s="162"/>
      <c r="Q138" s="162"/>
      <c r="R138" s="162"/>
      <c r="S138" s="162"/>
    </row>
    <row r="139" spans="2:32" s="20" customFormat="1" ht="25" customHeight="1">
      <c r="B139" s="534" t="s">
        <v>235</v>
      </c>
      <c r="C139" s="534"/>
      <c r="D139" s="534"/>
      <c r="E139" s="534"/>
      <c r="F139" s="534"/>
      <c r="G139" s="534"/>
      <c r="H139" s="37"/>
      <c r="J139" s="40"/>
      <c r="K139" s="38"/>
      <c r="M139" s="10"/>
    </row>
    <row r="140" spans="2:32" s="20" customFormat="1" ht="25" customHeight="1">
      <c r="B140" s="534"/>
      <c r="C140" s="534"/>
      <c r="D140" s="534"/>
      <c r="E140" s="534"/>
      <c r="F140" s="534"/>
      <c r="G140" s="534"/>
      <c r="H140" s="37"/>
      <c r="J140" s="40"/>
      <c r="K140" s="38"/>
      <c r="M140" s="10"/>
    </row>
    <row r="141" spans="2:32" s="20" customFormat="1" ht="25" customHeight="1">
      <c r="B141" s="534"/>
      <c r="C141" s="534"/>
      <c r="D141" s="534"/>
      <c r="E141" s="534"/>
      <c r="F141" s="534"/>
      <c r="G141" s="534"/>
      <c r="H141" s="37"/>
      <c r="J141" s="40"/>
      <c r="K141" s="38"/>
      <c r="M141" s="10"/>
    </row>
    <row r="142" spans="2:32" s="20" customFormat="1" ht="25" customHeight="1">
      <c r="B142" s="535" t="s">
        <v>206</v>
      </c>
      <c r="C142" s="535"/>
      <c r="D142" s="535"/>
      <c r="E142" s="535"/>
      <c r="F142" s="535"/>
      <c r="G142" s="45"/>
      <c r="H142" s="46"/>
      <c r="J142" s="47"/>
      <c r="K142" s="48"/>
      <c r="L142" s="49"/>
      <c r="M142" s="10"/>
      <c r="S142" s="41"/>
      <c r="T142" s="41"/>
      <c r="U142" s="41"/>
      <c r="V142" s="41"/>
      <c r="W142" s="41"/>
      <c r="X142" s="41"/>
      <c r="Y142" s="41"/>
      <c r="Z142" s="41"/>
    </row>
    <row r="143" spans="2:32" s="20" customFormat="1" ht="25" customHeight="1">
      <c r="B143" s="556"/>
      <c r="C143" s="556"/>
      <c r="D143" s="556"/>
      <c r="E143" s="556"/>
      <c r="F143" s="556"/>
      <c r="G143" s="45"/>
      <c r="H143" s="46"/>
      <c r="I143" s="45"/>
      <c r="J143" s="47"/>
      <c r="K143" s="48"/>
      <c r="L143" s="45"/>
      <c r="M143" s="10"/>
    </row>
    <row r="144" spans="2:32" s="20" customFormat="1" ht="25" customHeight="1">
      <c r="B144" s="44"/>
      <c r="C144" s="52"/>
      <c r="D144" s="52"/>
      <c r="E144" s="52"/>
      <c r="F144" s="52"/>
      <c r="G144" s="45"/>
      <c r="H144" s="46"/>
      <c r="I144" s="45"/>
      <c r="J144" s="47"/>
      <c r="K144" s="48"/>
      <c r="L144" s="45"/>
      <c r="M144" s="10"/>
    </row>
    <row r="145" spans="2:19" s="54" customFormat="1" ht="25" customHeight="1">
      <c r="B145" s="56" t="s">
        <v>236</v>
      </c>
      <c r="C145" s="52"/>
      <c r="D145" s="52"/>
      <c r="E145" s="52"/>
      <c r="F145" s="52"/>
      <c r="G145" s="45"/>
      <c r="H145" s="45"/>
      <c r="I145" s="45"/>
      <c r="J145" s="47"/>
      <c r="K145" s="48"/>
      <c r="L145" s="45"/>
      <c r="M145" s="10"/>
      <c r="N145" s="41"/>
      <c r="O145" s="41"/>
      <c r="P145" s="41"/>
      <c r="Q145" s="41"/>
      <c r="R145" s="41"/>
      <c r="S145" s="41"/>
    </row>
    <row r="146" spans="2:19" ht="25" customHeight="1">
      <c r="B146" s="161" t="s">
        <v>237</v>
      </c>
      <c r="M146" s="10"/>
    </row>
    <row r="147" spans="2:19" ht="25" customHeight="1">
      <c r="B147" s="252" t="s">
        <v>11</v>
      </c>
      <c r="C147" s="253" t="s">
        <v>238</v>
      </c>
      <c r="D147" s="253"/>
      <c r="E147" s="163" t="s">
        <v>215</v>
      </c>
      <c r="F147" s="163"/>
      <c r="G147" s="163"/>
      <c r="H147" s="163"/>
      <c r="I147" s="163"/>
      <c r="J147" s="253" t="s">
        <v>239</v>
      </c>
      <c r="K147" s="165" t="s">
        <v>240</v>
      </c>
      <c r="L147" s="110"/>
      <c r="M147" s="10"/>
      <c r="N147" s="183"/>
      <c r="O147" s="54"/>
    </row>
    <row r="148" spans="2:19" ht="25" customHeight="1">
      <c r="B148" s="140" t="s">
        <v>122</v>
      </c>
      <c r="C148" s="254" t="s">
        <v>123</v>
      </c>
      <c r="D148" s="254"/>
      <c r="E148" s="168" t="s">
        <v>241</v>
      </c>
      <c r="F148" s="173"/>
      <c r="G148" s="173"/>
      <c r="H148" s="173"/>
      <c r="I148" s="173"/>
      <c r="J148" s="255" t="s">
        <v>125</v>
      </c>
      <c r="K148" s="174">
        <f>NET_publicv4_SEK</f>
        <v>25</v>
      </c>
      <c r="M148" s="10"/>
      <c r="N148" s="183"/>
      <c r="O148" s="54"/>
    </row>
    <row r="149" spans="2:19" ht="25" customHeight="1">
      <c r="B149" s="145" t="s">
        <v>126</v>
      </c>
      <c r="C149" s="256" t="s">
        <v>127</v>
      </c>
      <c r="D149" s="256"/>
      <c r="E149" s="41" t="s">
        <v>241</v>
      </c>
      <c r="F149" s="257"/>
      <c r="G149" s="257"/>
      <c r="H149" s="257"/>
      <c r="I149" s="257"/>
      <c r="J149" s="258" t="s">
        <v>47</v>
      </c>
      <c r="K149" s="179">
        <f>NET_publicv6_SEK</f>
        <v>0</v>
      </c>
      <c r="M149" s="10"/>
      <c r="N149" s="183"/>
      <c r="O149" s="54"/>
    </row>
    <row r="150" spans="2:19" ht="25" customHeight="1">
      <c r="B150" s="140" t="s">
        <v>128</v>
      </c>
      <c r="C150" s="254" t="s">
        <v>242</v>
      </c>
      <c r="D150" s="254"/>
      <c r="E150" s="260"/>
      <c r="F150" s="261"/>
      <c r="G150" s="261"/>
      <c r="H150" s="261"/>
      <c r="I150" s="261"/>
      <c r="J150" s="263" t="s">
        <v>47</v>
      </c>
      <c r="K150" s="174">
        <f>NET_ingress_SEK</f>
        <v>0</v>
      </c>
      <c r="M150" s="10"/>
      <c r="N150" s="183"/>
      <c r="O150" s="54"/>
    </row>
    <row r="151" spans="2:19" ht="25" customHeight="1">
      <c r="B151" s="145" t="s">
        <v>130</v>
      </c>
      <c r="C151" s="256" t="s">
        <v>242</v>
      </c>
      <c r="D151" s="256"/>
      <c r="E151" s="41"/>
      <c r="F151" s="257"/>
      <c r="G151" s="257"/>
      <c r="H151" s="257"/>
      <c r="I151" s="257"/>
      <c r="J151" s="258" t="s">
        <v>47</v>
      </c>
      <c r="K151" s="179">
        <f>NET_egress_SEK</f>
        <v>0</v>
      </c>
      <c r="M151" s="10"/>
      <c r="N151" s="183"/>
      <c r="O151" s="54"/>
    </row>
    <row r="152" spans="2:19" ht="25" customHeight="1">
      <c r="B152" s="140" t="s">
        <v>131</v>
      </c>
      <c r="C152" s="254" t="s">
        <v>132</v>
      </c>
      <c r="D152" s="254"/>
      <c r="E152" s="527" t="s">
        <v>474</v>
      </c>
      <c r="F152" s="261"/>
      <c r="G152" s="261"/>
      <c r="H152" s="261"/>
      <c r="I152" s="261"/>
      <c r="J152" s="255" t="s">
        <v>133</v>
      </c>
      <c r="K152" s="174">
        <f>NET_mgn.slb_SEK</f>
        <v>2100</v>
      </c>
      <c r="M152" s="10"/>
    </row>
    <row r="153" spans="2:19" ht="25" customHeight="1">
      <c r="B153" s="145" t="s">
        <v>134</v>
      </c>
      <c r="C153" s="256" t="s">
        <v>135</v>
      </c>
      <c r="D153" s="256"/>
      <c r="E153" s="41"/>
      <c r="F153" s="257"/>
      <c r="G153" s="257"/>
      <c r="H153" s="257"/>
      <c r="I153" s="257"/>
      <c r="J153" s="258" t="s">
        <v>47</v>
      </c>
      <c r="K153" s="179">
        <f>NET_rdns_SEK</f>
        <v>0</v>
      </c>
      <c r="M153" s="10"/>
      <c r="N153" s="183"/>
      <c r="O153" s="54"/>
    </row>
    <row r="154" spans="2:19" ht="25" customHeight="1">
      <c r="B154" s="140" t="s">
        <v>136</v>
      </c>
      <c r="C154" s="254" t="s">
        <v>137</v>
      </c>
      <c r="D154" s="254"/>
      <c r="E154" s="173"/>
      <c r="F154" s="261"/>
      <c r="G154" s="261"/>
      <c r="H154" s="261"/>
      <c r="I154" s="261"/>
      <c r="J154" s="263" t="s">
        <v>47</v>
      </c>
      <c r="K154" s="174">
        <v>0</v>
      </c>
      <c r="M154" s="10"/>
      <c r="N154" s="183"/>
      <c r="O154" s="54"/>
    </row>
    <row r="155" spans="2:19" ht="25" customHeight="1">
      <c r="B155" s="264"/>
      <c r="C155" s="265"/>
      <c r="D155" s="266"/>
      <c r="E155" s="266"/>
      <c r="F155" s="266"/>
      <c r="G155" s="266"/>
      <c r="H155" s="266"/>
      <c r="I155" s="266"/>
      <c r="J155" s="265"/>
      <c r="K155" s="267"/>
      <c r="M155" s="10"/>
      <c r="N155" s="183"/>
      <c r="O155" s="54"/>
    </row>
    <row r="156" spans="2:19" ht="25" customHeight="1">
      <c r="C156" s="268"/>
      <c r="J156" s="268"/>
      <c r="M156" s="10"/>
      <c r="N156" s="183"/>
      <c r="O156" s="54"/>
    </row>
    <row r="157" spans="2:19" ht="25" customHeight="1">
      <c r="C157" s="268"/>
      <c r="J157" s="268"/>
      <c r="M157" s="10"/>
      <c r="N157" s="183"/>
      <c r="O157" s="54"/>
    </row>
    <row r="158" spans="2:19" ht="25" customHeight="1">
      <c r="B158" s="56" t="s">
        <v>243</v>
      </c>
      <c r="C158" s="110"/>
      <c r="D158" s="110"/>
      <c r="E158" s="110"/>
      <c r="F158" s="110"/>
      <c r="G158" s="110"/>
      <c r="H158" s="110"/>
      <c r="I158" s="110"/>
      <c r="J158" s="269"/>
      <c r="M158" s="10"/>
      <c r="N158" s="183"/>
      <c r="O158" s="54"/>
    </row>
    <row r="159" spans="2:19" ht="25" customHeight="1">
      <c r="B159" s="161" t="s">
        <v>244</v>
      </c>
      <c r="K159" s="1"/>
      <c r="M159" s="10"/>
    </row>
    <row r="160" spans="2:19" ht="25" customHeight="1">
      <c r="B160" s="252" t="s">
        <v>11</v>
      </c>
      <c r="C160" s="253"/>
      <c r="D160" s="253"/>
      <c r="E160" s="163" t="s">
        <v>215</v>
      </c>
      <c r="F160" s="163"/>
      <c r="G160" s="163"/>
      <c r="H160" s="163"/>
      <c r="I160" s="163"/>
      <c r="J160" s="253" t="s">
        <v>239</v>
      </c>
      <c r="K160" s="529" t="s">
        <v>240</v>
      </c>
      <c r="M160" s="10"/>
      <c r="N160" s="183"/>
      <c r="O160" s="54"/>
    </row>
    <row r="161" spans="2:20" ht="25" customHeight="1">
      <c r="B161" s="140" t="s">
        <v>140</v>
      </c>
      <c r="C161" s="254"/>
      <c r="D161" s="173"/>
      <c r="E161" s="173" t="s">
        <v>141</v>
      </c>
      <c r="F161" s="173"/>
      <c r="G161" s="173"/>
      <c r="H161" s="173"/>
      <c r="I161" s="173"/>
      <c r="J161" s="255" t="s">
        <v>12</v>
      </c>
      <c r="K161" s="174">
        <f>SW_win.ser.201X_SEK</f>
        <v>175</v>
      </c>
      <c r="L161" s="181"/>
      <c r="M161" s="10"/>
      <c r="N161" s="183"/>
      <c r="O161" s="54"/>
      <c r="Q161" s="41"/>
      <c r="R161" s="41"/>
    </row>
    <row r="162" spans="2:20" ht="25" customHeight="1">
      <c r="B162" s="145" t="s">
        <v>142</v>
      </c>
      <c r="C162" s="256"/>
      <c r="D162" s="178"/>
      <c r="E162" s="178" t="s">
        <v>143</v>
      </c>
      <c r="F162" s="257"/>
      <c r="G162" s="257"/>
      <c r="H162" s="257"/>
      <c r="I162" s="257"/>
      <c r="J162" s="262" t="s">
        <v>12</v>
      </c>
      <c r="K162" s="179">
        <f>SW_ms.sql.ser_SEK</f>
        <v>1229</v>
      </c>
      <c r="L162" s="181"/>
      <c r="M162" s="10"/>
      <c r="N162" s="183"/>
      <c r="O162" s="54"/>
      <c r="Q162" s="41"/>
      <c r="R162" s="41"/>
    </row>
    <row r="163" spans="2:20" ht="25" customHeight="1">
      <c r="B163" s="140" t="s">
        <v>144</v>
      </c>
      <c r="C163" s="254"/>
      <c r="D163" s="173"/>
      <c r="E163" s="173" t="s">
        <v>145</v>
      </c>
      <c r="F163" s="173"/>
      <c r="G163" s="173"/>
      <c r="H163" s="173"/>
      <c r="I163" s="173"/>
      <c r="J163" s="255" t="s">
        <v>12</v>
      </c>
      <c r="K163" s="174">
        <f>SW_ms.sql.ser.ent_SEK</f>
        <v>4766</v>
      </c>
      <c r="L163" s="181"/>
      <c r="M163" s="10"/>
      <c r="N163" s="183"/>
      <c r="O163" s="54"/>
      <c r="Q163" s="41"/>
      <c r="R163" s="41"/>
    </row>
    <row r="164" spans="2:20" s="20" customFormat="1" ht="25" customHeight="1">
      <c r="B164" s="145" t="s">
        <v>146</v>
      </c>
      <c r="C164" s="256"/>
      <c r="D164" s="178"/>
      <c r="E164" s="178" t="s">
        <v>147</v>
      </c>
      <c r="F164" s="257"/>
      <c r="G164" s="257"/>
      <c r="H164" s="257"/>
      <c r="I164" s="257"/>
      <c r="J164" s="530" t="s">
        <v>477</v>
      </c>
      <c r="K164" s="179">
        <f>SW_nextcloud_SEK</f>
        <v>70</v>
      </c>
      <c r="M164" s="10"/>
      <c r="N164" s="183"/>
      <c r="O164" s="54"/>
    </row>
    <row r="165" spans="2:20" ht="25" customHeight="1">
      <c r="B165" s="270"/>
      <c r="C165" s="271"/>
      <c r="D165" s="279"/>
      <c r="E165" s="272"/>
      <c r="F165" s="273"/>
      <c r="G165" s="273"/>
      <c r="H165" s="273"/>
      <c r="I165" s="273"/>
      <c r="J165" s="274"/>
      <c r="K165" s="275"/>
      <c r="M165" s="10"/>
      <c r="N165" s="183"/>
      <c r="O165" s="54"/>
    </row>
    <row r="166" spans="2:20" ht="25" customHeight="1">
      <c r="B166" s="145"/>
      <c r="C166" s="256"/>
      <c r="D166" s="178"/>
      <c r="E166" s="238"/>
      <c r="F166" s="257"/>
      <c r="G166" s="276"/>
      <c r="H166" s="262"/>
      <c r="I166" s="280"/>
      <c r="M166" s="10"/>
    </row>
    <row r="167" spans="2:20" ht="25" customHeight="1">
      <c r="B167" s="281"/>
      <c r="C167" s="230"/>
      <c r="D167" s="230"/>
      <c r="E167" s="230"/>
      <c r="F167" s="231"/>
      <c r="G167" s="232"/>
      <c r="H167" s="230"/>
      <c r="I167" s="181"/>
      <c r="J167" s="181"/>
      <c r="K167" s="182"/>
      <c r="L167" s="183"/>
      <c r="M167" s="10"/>
      <c r="N167" s="41"/>
      <c r="O167" s="41"/>
    </row>
    <row r="168" spans="2:20" s="20" customFormat="1" ht="25" customHeight="1">
      <c r="B168" s="534" t="s">
        <v>150</v>
      </c>
      <c r="C168" s="534"/>
      <c r="D168" s="534"/>
      <c r="E168" s="534"/>
      <c r="F168" s="534"/>
      <c r="G168" s="534"/>
      <c r="H168" s="282"/>
      <c r="J168" s="40"/>
      <c r="K168" s="38"/>
      <c r="M168" s="10"/>
    </row>
    <row r="169" spans="2:20" s="20" customFormat="1" ht="25" customHeight="1">
      <c r="B169" s="534"/>
      <c r="C169" s="534"/>
      <c r="D169" s="534"/>
      <c r="E169" s="534"/>
      <c r="F169" s="534"/>
      <c r="G169" s="534"/>
      <c r="H169" s="282"/>
      <c r="J169" s="40"/>
      <c r="K169" s="38"/>
      <c r="M169" s="10"/>
    </row>
    <row r="170" spans="2:20" s="20" customFormat="1" ht="25" customHeight="1">
      <c r="B170" s="534"/>
      <c r="C170" s="534"/>
      <c r="D170" s="534"/>
      <c r="E170" s="534"/>
      <c r="F170" s="534"/>
      <c r="G170" s="534"/>
      <c r="H170" s="282"/>
      <c r="J170" s="40"/>
      <c r="K170" s="38"/>
      <c r="M170" s="10"/>
    </row>
    <row r="171" spans="2:20" s="20" customFormat="1" ht="25" customHeight="1">
      <c r="B171" s="548" t="s">
        <v>245</v>
      </c>
      <c r="C171" s="548"/>
      <c r="D171" s="548"/>
      <c r="E171" s="548"/>
      <c r="F171" s="548"/>
      <c r="H171" s="282"/>
      <c r="J171" s="40"/>
      <c r="K171" s="38"/>
      <c r="M171" s="10"/>
    </row>
    <row r="172" spans="2:20" s="20" customFormat="1" ht="25" customHeight="1">
      <c r="B172" s="535" t="s">
        <v>206</v>
      </c>
      <c r="C172" s="535"/>
      <c r="D172" s="535"/>
      <c r="E172" s="535"/>
      <c r="F172" s="535"/>
      <c r="G172" s="45"/>
      <c r="H172" s="46"/>
      <c r="I172" s="45"/>
      <c r="J172" s="47"/>
      <c r="K172" s="48"/>
      <c r="L172" s="45"/>
      <c r="M172" s="10"/>
    </row>
    <row r="173" spans="2:20" s="20" customFormat="1" ht="25" customHeight="1">
      <c r="B173" s="44"/>
      <c r="C173" s="52"/>
      <c r="D173" s="52"/>
      <c r="E173" s="52"/>
      <c r="F173" s="52"/>
      <c r="G173" s="45"/>
      <c r="H173" s="46"/>
      <c r="I173" s="45"/>
      <c r="J173" s="47"/>
      <c r="K173" s="48"/>
      <c r="L173" s="45"/>
      <c r="M173" s="10"/>
    </row>
    <row r="174" spans="2:20" ht="25" customHeight="1">
      <c r="B174" s="56" t="s">
        <v>150</v>
      </c>
      <c r="C174" s="110"/>
      <c r="D174" s="110"/>
      <c r="F174" s="110"/>
      <c r="G174" s="110"/>
      <c r="H174" s="110"/>
      <c r="I174" s="110"/>
      <c r="J174" s="110"/>
      <c r="K174" s="283"/>
      <c r="L174" s="110"/>
      <c r="M174" s="10"/>
      <c r="O174" s="183"/>
      <c r="P174" s="183"/>
      <c r="Q174" s="54"/>
      <c r="S174" s="41"/>
      <c r="T174" s="41"/>
    </row>
    <row r="175" spans="2:20" ht="25" customHeight="1">
      <c r="B175" s="161" t="s">
        <v>246</v>
      </c>
      <c r="M175" s="10"/>
    </row>
    <row r="176" spans="2:20" ht="25" customHeight="1">
      <c r="B176" s="252" t="s">
        <v>11</v>
      </c>
      <c r="C176" s="253"/>
      <c r="D176" s="163" t="s">
        <v>215</v>
      </c>
      <c r="E176" s="107"/>
      <c r="F176" s="163"/>
      <c r="G176" s="66"/>
      <c r="H176" s="66"/>
      <c r="I176" s="253" t="s">
        <v>239</v>
      </c>
      <c r="J176" s="253"/>
      <c r="K176" s="165" t="s">
        <v>109</v>
      </c>
      <c r="L176" s="181"/>
      <c r="M176" s="10"/>
      <c r="N176" s="183"/>
      <c r="O176" s="54"/>
      <c r="Q176" s="41"/>
      <c r="R176" s="41"/>
    </row>
    <row r="177" spans="2:18" ht="25" customHeight="1">
      <c r="B177" s="140" t="s">
        <v>153</v>
      </c>
      <c r="C177" s="254"/>
      <c r="D177" s="173" t="s">
        <v>247</v>
      </c>
      <c r="E177" s="277"/>
      <c r="F177" s="173"/>
      <c r="G177" s="277"/>
      <c r="H177" s="277"/>
      <c r="I177" s="263" t="s">
        <v>47</v>
      </c>
      <c r="J177" s="263"/>
      <c r="K177" s="174">
        <v>0</v>
      </c>
      <c r="L177" s="181"/>
      <c r="M177" s="10"/>
      <c r="N177" s="183"/>
      <c r="O177" s="54"/>
      <c r="Q177" s="41"/>
      <c r="R177" s="41"/>
    </row>
    <row r="178" spans="2:18" ht="25" customHeight="1">
      <c r="B178" s="145" t="s">
        <v>155</v>
      </c>
      <c r="C178" s="256"/>
      <c r="D178" s="178" t="s">
        <v>248</v>
      </c>
      <c r="E178" s="238"/>
      <c r="F178" s="257"/>
      <c r="G178" s="276"/>
      <c r="H178" s="276"/>
      <c r="I178" s="262" t="s">
        <v>249</v>
      </c>
      <c r="J178" s="262"/>
      <c r="K178" s="179" t="s">
        <v>250</v>
      </c>
      <c r="L178" s="181"/>
      <c r="M178" s="10"/>
      <c r="N178" s="183"/>
      <c r="O178" s="54"/>
      <c r="Q178" s="41"/>
      <c r="R178" s="41"/>
    </row>
    <row r="179" spans="2:18" ht="25" customHeight="1">
      <c r="B179" s="140" t="s">
        <v>159</v>
      </c>
      <c r="C179" s="254"/>
      <c r="D179" s="173" t="s">
        <v>251</v>
      </c>
      <c r="E179" s="254"/>
      <c r="F179" s="254"/>
      <c r="G179" s="254"/>
      <c r="H179" s="277"/>
      <c r="I179" s="532" t="s">
        <v>480</v>
      </c>
      <c r="J179" s="255"/>
      <c r="K179" s="174">
        <v>25000</v>
      </c>
      <c r="L179" s="181"/>
      <c r="M179" s="10"/>
      <c r="N179" s="183"/>
      <c r="O179" s="54"/>
      <c r="Q179" s="41"/>
      <c r="R179" s="41"/>
    </row>
    <row r="180" spans="2:18" ht="25" customHeight="1">
      <c r="B180" s="270"/>
      <c r="C180" s="271"/>
      <c r="D180" s="271"/>
      <c r="E180" s="272"/>
      <c r="F180" s="273"/>
      <c r="G180" s="274"/>
      <c r="H180" s="274"/>
      <c r="I180" s="284"/>
      <c r="J180" s="284"/>
      <c r="K180" s="275"/>
      <c r="L180" s="181"/>
      <c r="M180" s="10"/>
      <c r="N180" s="183"/>
      <c r="O180" s="54"/>
      <c r="Q180" s="41"/>
      <c r="R180" s="41"/>
    </row>
    <row r="181" spans="2:18" ht="25" customHeight="1">
      <c r="B181" s="145"/>
      <c r="C181" s="256"/>
      <c r="D181" s="178"/>
      <c r="E181" s="238"/>
      <c r="F181" s="257"/>
      <c r="G181" s="276"/>
      <c r="H181" s="276"/>
      <c r="I181" s="262"/>
      <c r="J181" s="262"/>
      <c r="K181" s="259"/>
      <c r="L181" s="181"/>
      <c r="M181" s="10"/>
      <c r="N181" s="183"/>
      <c r="O181" s="54"/>
      <c r="Q181" s="41"/>
      <c r="R181" s="41"/>
    </row>
    <row r="182" spans="2:18" s="63" customFormat="1" ht="25" hidden="1" customHeight="1">
      <c r="B182" s="56" t="s">
        <v>252</v>
      </c>
      <c r="C182" s="285"/>
      <c r="D182" s="285"/>
      <c r="F182" s="285"/>
      <c r="G182" s="285"/>
      <c r="H182" s="285"/>
      <c r="I182" s="286"/>
      <c r="J182" s="286"/>
      <c r="K182" s="287"/>
      <c r="L182" s="288"/>
      <c r="M182" s="10"/>
      <c r="N182" s="289"/>
      <c r="O182" s="290"/>
      <c r="Q182" s="290"/>
      <c r="R182" s="290"/>
    </row>
    <row r="183" spans="2:18" ht="25" hidden="1" customHeight="1">
      <c r="B183" s="161" t="s">
        <v>253</v>
      </c>
      <c r="M183" s="10"/>
    </row>
    <row r="184" spans="2:18" ht="25" hidden="1" customHeight="1">
      <c r="B184" s="252" t="s">
        <v>11</v>
      </c>
      <c r="C184" s="253"/>
      <c r="D184" s="163" t="s">
        <v>215</v>
      </c>
      <c r="E184" s="107"/>
      <c r="F184" s="163"/>
      <c r="G184" s="66"/>
      <c r="H184" s="66"/>
      <c r="I184" s="253" t="s">
        <v>239</v>
      </c>
      <c r="J184" s="253"/>
      <c r="K184" s="165" t="s">
        <v>109</v>
      </c>
      <c r="L184" s="181"/>
      <c r="M184" s="10"/>
      <c r="N184" s="183"/>
      <c r="O184" s="54"/>
      <c r="Q184" s="41"/>
      <c r="R184" s="41"/>
    </row>
    <row r="185" spans="2:18" ht="25" hidden="1" customHeight="1">
      <c r="B185" s="140" t="s">
        <v>164</v>
      </c>
      <c r="C185" s="254"/>
      <c r="D185" s="173" t="s">
        <v>165</v>
      </c>
      <c r="E185" s="277"/>
      <c r="F185" s="173"/>
      <c r="G185" s="277"/>
      <c r="H185" s="277"/>
      <c r="I185" s="255" t="s">
        <v>161</v>
      </c>
      <c r="J185" s="255"/>
      <c r="K185" s="200">
        <f>PS_consult.jun_SEK</f>
        <v>1127</v>
      </c>
      <c r="L185" s="181"/>
      <c r="M185" s="10"/>
      <c r="N185" s="183"/>
      <c r="O185" s="54"/>
      <c r="Q185" s="41"/>
      <c r="R185" s="41"/>
    </row>
    <row r="186" spans="2:18" ht="25" hidden="1" customHeight="1">
      <c r="B186" s="145" t="s">
        <v>166</v>
      </c>
      <c r="C186" s="256"/>
      <c r="D186" s="178" t="s">
        <v>167</v>
      </c>
      <c r="E186" s="238"/>
      <c r="F186" s="257"/>
      <c r="G186" s="276"/>
      <c r="H186" s="276"/>
      <c r="I186" s="262" t="s">
        <v>161</v>
      </c>
      <c r="J186" s="262"/>
      <c r="K186" s="278">
        <f>PS_consult.sen_SEK</f>
        <v>1374</v>
      </c>
      <c r="L186" s="181"/>
      <c r="M186" s="10"/>
      <c r="N186" s="183"/>
      <c r="O186" s="54"/>
      <c r="Q186" s="41"/>
      <c r="R186" s="41"/>
    </row>
    <row r="187" spans="2:18" ht="25" hidden="1" customHeight="1">
      <c r="B187" s="140" t="s">
        <v>168</v>
      </c>
      <c r="C187" s="254"/>
      <c r="D187" s="173" t="s">
        <v>169</v>
      </c>
      <c r="E187" s="277"/>
      <c r="F187" s="173"/>
      <c r="G187" s="277"/>
      <c r="H187" s="277"/>
      <c r="I187" s="255" t="s">
        <v>161</v>
      </c>
      <c r="J187" s="255"/>
      <c r="K187" s="200">
        <f>PS_cloudarch.jun_SEK</f>
        <v>1277</v>
      </c>
      <c r="L187" s="181"/>
      <c r="M187" s="10"/>
      <c r="N187" s="183"/>
      <c r="O187" s="54"/>
      <c r="Q187" s="41"/>
      <c r="R187" s="41"/>
    </row>
    <row r="188" spans="2:18" ht="25" hidden="1" customHeight="1">
      <c r="B188" s="145" t="s">
        <v>170</v>
      </c>
      <c r="C188" s="256"/>
      <c r="D188" s="178" t="s">
        <v>171</v>
      </c>
      <c r="E188" s="178"/>
      <c r="F188" s="178"/>
      <c r="G188" s="276"/>
      <c r="H188" s="276"/>
      <c r="I188" s="262" t="s">
        <v>161</v>
      </c>
      <c r="J188" s="262"/>
      <c r="K188" s="278">
        <f>PS_cloudarch.sen_SEK</f>
        <v>1374</v>
      </c>
      <c r="L188" s="181"/>
      <c r="M188" s="10"/>
      <c r="N188" s="183"/>
      <c r="O188" s="54"/>
      <c r="Q188" s="41"/>
      <c r="R188" s="41"/>
    </row>
    <row r="189" spans="2:18" ht="25" hidden="1" customHeight="1">
      <c r="B189" s="140" t="s">
        <v>172</v>
      </c>
      <c r="C189" s="254"/>
      <c r="D189" s="173" t="s">
        <v>173</v>
      </c>
      <c r="E189" s="277"/>
      <c r="F189" s="173"/>
      <c r="G189" s="277"/>
      <c r="H189" s="277"/>
      <c r="I189" s="255" t="s">
        <v>161</v>
      </c>
      <c r="J189" s="255"/>
      <c r="K189" s="200">
        <f>PS_pm.jun_SEK</f>
        <v>1139</v>
      </c>
      <c r="L189" s="181"/>
      <c r="M189" s="10"/>
      <c r="N189" s="183"/>
      <c r="O189" s="54"/>
      <c r="Q189" s="41"/>
      <c r="R189" s="41"/>
    </row>
    <row r="190" spans="2:18" ht="25" hidden="1" customHeight="1">
      <c r="B190" s="145" t="s">
        <v>174</v>
      </c>
      <c r="C190" s="256"/>
      <c r="D190" s="178" t="s">
        <v>175</v>
      </c>
      <c r="E190" s="238"/>
      <c r="F190" s="257"/>
      <c r="G190" s="276"/>
      <c r="H190" s="276"/>
      <c r="I190" s="262" t="s">
        <v>161</v>
      </c>
      <c r="J190" s="262"/>
      <c r="K190" s="278">
        <f>PS_pm.sen_SEK</f>
        <v>1374</v>
      </c>
      <c r="L190" s="181"/>
      <c r="M190" s="10"/>
      <c r="N190" s="183"/>
      <c r="O190" s="54"/>
      <c r="Q190" s="41"/>
      <c r="R190" s="41"/>
    </row>
    <row r="191" spans="2:18" ht="25" hidden="1" customHeight="1">
      <c r="B191" s="270"/>
      <c r="C191" s="271"/>
      <c r="D191" s="279"/>
      <c r="E191" s="272"/>
      <c r="F191" s="273"/>
      <c r="G191" s="274"/>
      <c r="H191" s="274"/>
      <c r="I191" s="284"/>
      <c r="J191" s="284"/>
      <c r="K191" s="275"/>
      <c r="L191" s="181"/>
      <c r="M191" s="10"/>
      <c r="N191" s="183"/>
      <c r="O191" s="54"/>
      <c r="Q191" s="41"/>
      <c r="R191" s="41"/>
    </row>
    <row r="192" spans="2:18" ht="25" hidden="1" customHeight="1">
      <c r="B192" s="145"/>
      <c r="C192" s="256"/>
      <c r="D192" s="178"/>
      <c r="E192" s="238"/>
      <c r="F192" s="257"/>
      <c r="G192" s="276"/>
      <c r="H192" s="276"/>
      <c r="I192" s="262"/>
      <c r="J192" s="262"/>
      <c r="K192" s="259"/>
      <c r="M192" s="10"/>
      <c r="N192" s="183"/>
      <c r="O192" s="54"/>
    </row>
    <row r="193" spans="1:18" ht="25" customHeight="1">
      <c r="B193" s="56" t="s">
        <v>254</v>
      </c>
      <c r="C193" s="110"/>
      <c r="D193" s="110"/>
      <c r="F193" s="110"/>
      <c r="G193" s="110"/>
      <c r="H193" s="110"/>
      <c r="I193" s="269"/>
      <c r="J193" s="269"/>
      <c r="L193" s="181"/>
      <c r="M193" s="10"/>
      <c r="N193" s="183"/>
      <c r="O193" s="54"/>
      <c r="Q193" s="41"/>
      <c r="R193" s="41"/>
    </row>
    <row r="194" spans="1:18" ht="25" customHeight="1">
      <c r="B194" s="161" t="s">
        <v>255</v>
      </c>
      <c r="M194" s="10"/>
    </row>
    <row r="195" spans="1:18" ht="25" customHeight="1">
      <c r="B195" s="252" t="s">
        <v>11</v>
      </c>
      <c r="C195" s="253"/>
      <c r="D195" s="163" t="s">
        <v>215</v>
      </c>
      <c r="E195" s="107"/>
      <c r="F195" s="163"/>
      <c r="G195" s="163"/>
      <c r="H195" s="253" t="s">
        <v>256</v>
      </c>
      <c r="I195" s="253" t="s">
        <v>239</v>
      </c>
      <c r="J195" s="253"/>
      <c r="K195" s="165" t="s">
        <v>109</v>
      </c>
      <c r="L195" s="181"/>
      <c r="M195" s="10"/>
      <c r="N195" s="183"/>
      <c r="O195" s="54"/>
      <c r="Q195" s="41"/>
      <c r="R195" s="41"/>
    </row>
    <row r="196" spans="1:18" ht="25" customHeight="1">
      <c r="B196" s="140" t="s">
        <v>179</v>
      </c>
      <c r="C196" s="254"/>
      <c r="D196" s="173" t="s">
        <v>257</v>
      </c>
      <c r="E196" s="277"/>
      <c r="F196" s="173"/>
      <c r="G196" s="173"/>
      <c r="H196" s="255" t="s">
        <v>181</v>
      </c>
      <c r="I196" s="255" t="s">
        <v>258</v>
      </c>
      <c r="J196" s="255"/>
      <c r="K196" s="174">
        <v>6500</v>
      </c>
      <c r="L196" s="181"/>
      <c r="M196" s="10"/>
      <c r="N196" s="183"/>
      <c r="O196" s="54"/>
      <c r="Q196" s="41"/>
      <c r="R196" s="41"/>
    </row>
    <row r="197" spans="1:18" ht="25" customHeight="1">
      <c r="B197" s="145" t="s">
        <v>183</v>
      </c>
      <c r="C197" s="256"/>
      <c r="D197" s="178" t="s">
        <v>259</v>
      </c>
      <c r="E197" s="238"/>
      <c r="F197" s="257"/>
      <c r="G197" s="257"/>
      <c r="H197" s="262" t="s">
        <v>181</v>
      </c>
      <c r="I197" s="262" t="s">
        <v>258</v>
      </c>
      <c r="J197" s="262"/>
      <c r="K197" s="179">
        <v>6500</v>
      </c>
      <c r="L197" s="181"/>
      <c r="M197" s="10"/>
      <c r="N197" s="183"/>
      <c r="O197" s="54"/>
      <c r="Q197" s="41"/>
      <c r="R197" s="41"/>
    </row>
    <row r="198" spans="1:18" ht="25" customHeight="1">
      <c r="B198" s="140" t="s">
        <v>185</v>
      </c>
      <c r="C198" s="254"/>
      <c r="D198" s="173" t="s">
        <v>260</v>
      </c>
      <c r="E198" s="277"/>
      <c r="F198" s="173"/>
      <c r="G198" s="173"/>
      <c r="H198" s="255" t="s">
        <v>261</v>
      </c>
      <c r="I198" s="255" t="s">
        <v>258</v>
      </c>
      <c r="J198" s="255"/>
      <c r="K198" s="531">
        <v>26000</v>
      </c>
      <c r="L198" s="181"/>
      <c r="M198" s="10"/>
      <c r="N198" s="183"/>
      <c r="O198" s="54"/>
      <c r="Q198" s="41"/>
      <c r="R198" s="41"/>
    </row>
    <row r="199" spans="1:18" ht="25" customHeight="1">
      <c r="B199" s="145" t="s">
        <v>188</v>
      </c>
      <c r="C199" s="256"/>
      <c r="D199" s="178" t="s">
        <v>262</v>
      </c>
      <c r="E199" s="238"/>
      <c r="F199" s="257"/>
      <c r="G199" s="257"/>
      <c r="H199" s="262" t="s">
        <v>261</v>
      </c>
      <c r="I199" s="262" t="s">
        <v>258</v>
      </c>
      <c r="J199" s="262"/>
      <c r="K199" s="179">
        <v>26000</v>
      </c>
      <c r="L199" s="181"/>
      <c r="M199" s="10"/>
      <c r="N199" s="183"/>
      <c r="O199" s="54"/>
      <c r="Q199" s="41"/>
      <c r="R199" s="41"/>
    </row>
    <row r="200" spans="1:18" ht="25" customHeight="1">
      <c r="B200" s="270"/>
      <c r="C200" s="271"/>
      <c r="D200" s="279"/>
      <c r="E200" s="272"/>
      <c r="F200" s="273"/>
      <c r="G200" s="274"/>
      <c r="H200" s="274"/>
      <c r="I200" s="274"/>
      <c r="J200" s="274"/>
      <c r="K200" s="275"/>
      <c r="L200" s="181"/>
      <c r="M200" s="10"/>
      <c r="N200" s="183"/>
      <c r="O200" s="54"/>
      <c r="Q200" s="41"/>
      <c r="R200" s="41"/>
    </row>
    <row r="201" spans="1:18" ht="25" customHeight="1">
      <c r="B201" s="281"/>
      <c r="C201" s="230"/>
      <c r="D201" s="230"/>
      <c r="E201" s="230"/>
      <c r="F201" s="231"/>
      <c r="G201" s="232"/>
      <c r="H201" s="181"/>
      <c r="I201" s="181"/>
      <c r="J201" s="181"/>
      <c r="K201" s="184"/>
      <c r="L201" s="183"/>
      <c r="M201" s="10"/>
      <c r="N201" s="41"/>
      <c r="O201" s="41"/>
    </row>
    <row r="202" spans="1:18" ht="25" customHeight="1">
      <c r="A202" s="234"/>
      <c r="B202" s="291"/>
      <c r="C202" s="292"/>
      <c r="D202" s="292"/>
      <c r="E202" s="292"/>
      <c r="F202" s="293"/>
      <c r="G202" s="294"/>
      <c r="H202" s="295"/>
      <c r="I202" s="295"/>
      <c r="J202" s="296"/>
      <c r="K202" s="297"/>
      <c r="L202" s="298"/>
      <c r="M202" s="10"/>
      <c r="N202" s="41"/>
      <c r="O202" s="41"/>
    </row>
    <row r="203" spans="1:18" s="20" customFormat="1" ht="25" customHeight="1">
      <c r="A203" s="21"/>
      <c r="B203" s="299"/>
      <c r="C203" s="300"/>
      <c r="D203" s="300"/>
      <c r="E203" s="300"/>
      <c r="F203" s="301"/>
      <c r="G203" s="302"/>
      <c r="H203" s="303"/>
      <c r="I203" s="303"/>
      <c r="J203" s="304"/>
      <c r="K203" s="305"/>
      <c r="L203" s="21"/>
      <c r="M203" s="10"/>
    </row>
    <row r="204" spans="1:18" s="20" customFormat="1" ht="25" customHeight="1">
      <c r="A204" s="21"/>
      <c r="B204" s="299"/>
      <c r="C204" s="300"/>
      <c r="D204" s="300"/>
      <c r="E204" s="300"/>
      <c r="F204" s="301"/>
      <c r="G204" s="302"/>
      <c r="H204" s="303"/>
      <c r="I204" s="303"/>
      <c r="J204" s="304"/>
      <c r="K204" s="305"/>
      <c r="L204" s="21"/>
      <c r="M204" s="10"/>
    </row>
    <row r="205" spans="1:18" s="20" customFormat="1" ht="25" customHeight="1">
      <c r="A205" s="21"/>
      <c r="B205" s="299"/>
      <c r="C205" s="300"/>
      <c r="D205" s="300"/>
      <c r="E205" s="300"/>
      <c r="F205" s="301"/>
      <c r="G205" s="302"/>
      <c r="H205" s="303"/>
      <c r="I205" s="303"/>
      <c r="J205" s="304"/>
      <c r="K205" s="305"/>
      <c r="L205" s="21"/>
      <c r="M205" s="10"/>
    </row>
    <row r="206" spans="1:18" s="20" customFormat="1" ht="25" customHeight="1">
      <c r="A206" s="21"/>
      <c r="B206" s="549" t="s">
        <v>263</v>
      </c>
      <c r="C206" s="549"/>
      <c r="D206" s="549"/>
      <c r="E206" s="549"/>
      <c r="F206" s="549"/>
      <c r="G206" s="549"/>
      <c r="H206" s="25"/>
      <c r="I206" s="134"/>
      <c r="J206" s="21"/>
      <c r="K206" s="26"/>
      <c r="L206" s="21"/>
      <c r="M206" s="10"/>
    </row>
    <row r="207" spans="1:18" s="20" customFormat="1" ht="25" customHeight="1">
      <c r="A207" s="21"/>
      <c r="B207" s="549"/>
      <c r="C207" s="549"/>
      <c r="D207" s="549"/>
      <c r="E207" s="549"/>
      <c r="F207" s="549"/>
      <c r="G207" s="549"/>
      <c r="H207" s="25"/>
      <c r="I207" s="134"/>
      <c r="J207" s="21"/>
      <c r="K207" s="26"/>
      <c r="L207" s="21"/>
      <c r="M207" s="10"/>
    </row>
    <row r="208" spans="1:18" s="20" customFormat="1" ht="25" customHeight="1">
      <c r="A208" s="21"/>
      <c r="B208" s="549"/>
      <c r="C208" s="549"/>
      <c r="D208" s="549"/>
      <c r="E208" s="549"/>
      <c r="F208" s="549"/>
      <c r="G208" s="549"/>
      <c r="H208" s="25"/>
      <c r="I208" s="134"/>
      <c r="J208" s="21"/>
      <c r="K208" s="26"/>
      <c r="L208" s="21"/>
      <c r="M208" s="10"/>
    </row>
    <row r="209" spans="1:20" s="20" customFormat="1" ht="25" customHeight="1">
      <c r="A209" s="21"/>
      <c r="B209" s="550" t="s">
        <v>206</v>
      </c>
      <c r="C209" s="550"/>
      <c r="D209" s="550"/>
      <c r="E209" s="550"/>
      <c r="F209" s="550"/>
      <c r="G209" s="21"/>
      <c r="H209" s="25"/>
      <c r="I209" s="134"/>
      <c r="J209" s="21"/>
      <c r="K209" s="26"/>
      <c r="L209" s="307"/>
      <c r="M209" s="10"/>
    </row>
    <row r="210" spans="1:20" s="20" customFormat="1" ht="25" customHeight="1">
      <c r="A210" s="21"/>
      <c r="B210" s="22"/>
      <c r="C210" s="23"/>
      <c r="D210" s="23"/>
      <c r="E210" s="23"/>
      <c r="F210" s="23"/>
      <c r="G210" s="21"/>
      <c r="H210" s="25"/>
      <c r="I210" s="134"/>
      <c r="J210" s="21"/>
      <c r="K210" s="26"/>
      <c r="L210" s="307"/>
      <c r="M210" s="10"/>
    </row>
    <row r="211" spans="1:20" s="20" customFormat="1" ht="25" customHeight="1">
      <c r="A211" s="21"/>
      <c r="B211" s="15" t="s">
        <v>264</v>
      </c>
      <c r="C211" s="23"/>
      <c r="D211" s="23"/>
      <c r="E211" s="23"/>
      <c r="F211" s="23"/>
      <c r="G211" s="21"/>
      <c r="H211" s="25"/>
      <c r="I211" s="134"/>
      <c r="J211" s="21"/>
      <c r="K211" s="26"/>
      <c r="L211" s="307"/>
      <c r="M211" s="10"/>
    </row>
    <row r="212" spans="1:20" s="20" customFormat="1" ht="25" customHeight="1">
      <c r="A212" s="21"/>
      <c r="B212" s="17" t="s">
        <v>265</v>
      </c>
      <c r="C212" s="23"/>
      <c r="D212" s="23"/>
      <c r="E212" s="23"/>
      <c r="F212" s="23"/>
      <c r="G212" s="21"/>
      <c r="H212" s="25"/>
      <c r="I212" s="21"/>
      <c r="J212" s="27"/>
      <c r="K212" s="26"/>
      <c r="L212" s="307"/>
      <c r="M212" s="10"/>
    </row>
    <row r="213" spans="1:20" s="20" customFormat="1" ht="25" customHeight="1">
      <c r="A213" s="21"/>
      <c r="B213" s="18" t="s">
        <v>4</v>
      </c>
      <c r="C213" s="308"/>
      <c r="D213" s="308"/>
      <c r="E213" s="308"/>
      <c r="F213" s="308"/>
      <c r="G213" s="307"/>
      <c r="H213" s="309"/>
      <c r="I213" s="307"/>
      <c r="J213" s="310"/>
      <c r="K213" s="311"/>
      <c r="L213" s="307"/>
      <c r="M213" s="10"/>
    </row>
    <row r="214" spans="1:20" s="127" customFormat="1" ht="25" customHeight="1">
      <c r="A214" s="312"/>
      <c r="B214" s="306"/>
      <c r="C214" s="313"/>
      <c r="D214" s="313"/>
      <c r="E214" s="313"/>
      <c r="F214" s="313"/>
      <c r="G214" s="307"/>
      <c r="H214" s="309"/>
      <c r="I214" s="307"/>
      <c r="J214" s="310"/>
      <c r="K214" s="311"/>
      <c r="L214" s="312"/>
      <c r="M214" s="10"/>
      <c r="N214" s="314"/>
      <c r="O214" s="162"/>
      <c r="P214" s="162"/>
      <c r="Q214" s="162"/>
      <c r="R214" s="162"/>
      <c r="S214" s="162"/>
      <c r="T214" s="162"/>
    </row>
    <row r="215" spans="1:20" ht="25" customHeight="1">
      <c r="A215" s="5"/>
      <c r="B215" s="315" t="s">
        <v>192</v>
      </c>
      <c r="C215" s="316"/>
      <c r="D215" s="317"/>
      <c r="E215" s="316"/>
      <c r="F215" s="318"/>
      <c r="G215" s="318"/>
      <c r="H215" s="318"/>
      <c r="I215" s="316"/>
      <c r="J215" s="318" t="s">
        <v>263</v>
      </c>
      <c r="K215" s="319"/>
      <c r="L215" s="320"/>
      <c r="M215" s="10"/>
      <c r="N215" s="246"/>
    </row>
    <row r="216" spans="1:20" ht="25" customHeight="1">
      <c r="A216" s="5"/>
      <c r="B216" s="321" t="s">
        <v>193</v>
      </c>
      <c r="C216" s="322" t="str">
        <f t="array" ref="C216">SUM(I26:I37*C26:C37)+SUM(I47:I56*b2_list_Antal_instanser)+SUM(I62:I65*C62:C65)+SUM(I72:I74*C72:C74)&amp;" vCPU"&amp;"     /     "&amp;SUM(I26:I37*E26)+SUM(b2_list_vCPU*b2_list_ram)+SUM(I62:I65*D62:D65)+SUM(I72:I74*D72:D74)&amp;" GB RAM"&amp;"     /     "&amp;SUM(I26:I37*E26:E37)+SUM(b2_list_vCPU*E47:E56)+SUM(I62:I65*E62:E65)+SUM(I72:I74*E72:E74)&amp;" GB  NVMe"&amp;"     /     "&amp;SUM(I81:I83)&amp;" GB Blokklagring"</f>
        <v>0 vCPU     /     0 GB RAM     /     0 GB  NVMe     /     0 GB Blokklagring</v>
      </c>
      <c r="D216" s="323"/>
      <c r="E216" s="322"/>
      <c r="F216" s="322"/>
      <c r="G216" s="324"/>
      <c r="H216" s="325"/>
      <c r="I216" s="323"/>
      <c r="J216" s="326">
        <f>K66+K75+K57+K40+K84</f>
        <v>0</v>
      </c>
      <c r="K216" s="174"/>
      <c r="L216" s="5"/>
      <c r="M216" s="10"/>
      <c r="N216" s="246"/>
    </row>
    <row r="217" spans="1:20" ht="25" customHeight="1">
      <c r="A217" s="5"/>
      <c r="B217" s="327" t="s">
        <v>194</v>
      </c>
      <c r="C217" s="328" t="str">
        <f>K96&amp;" TB - S3"&amp;"     /     "&amp;K95&amp;" TB - Archive"</f>
        <v>0 TB - S3     /     0 TB - Archive</v>
      </c>
      <c r="D217" s="329"/>
      <c r="E217" s="329"/>
      <c r="F217" s="330"/>
      <c r="G217" s="331"/>
      <c r="H217" s="331"/>
      <c r="I217" s="332"/>
      <c r="J217" s="333">
        <f>K97</f>
        <v>0</v>
      </c>
      <c r="K217" s="174"/>
      <c r="L217" s="5"/>
      <c r="M217" s="10"/>
      <c r="N217" s="246"/>
    </row>
    <row r="218" spans="1:20" ht="25" customHeight="1">
      <c r="A218" s="5"/>
      <c r="B218" s="327" t="s">
        <v>195</v>
      </c>
      <c r="C218" s="334"/>
      <c r="D218" s="335"/>
      <c r="E218" s="336"/>
      <c r="F218" s="330"/>
      <c r="G218" s="331"/>
      <c r="H218" s="331"/>
      <c r="I218" s="332"/>
      <c r="J218" s="333">
        <f>K121</f>
        <v>0</v>
      </c>
      <c r="K218" s="174"/>
      <c r="L218" s="5"/>
      <c r="M218" s="10"/>
      <c r="N218" s="246"/>
    </row>
    <row r="219" spans="1:20" s="337" customFormat="1" ht="25" customHeight="1">
      <c r="A219" s="338"/>
      <c r="B219" s="382" t="s">
        <v>33</v>
      </c>
      <c r="C219" s="341"/>
      <c r="D219" s="341"/>
      <c r="E219" s="341"/>
      <c r="F219" s="341"/>
      <c r="G219" s="341"/>
      <c r="H219" s="341"/>
      <c r="I219" s="341"/>
      <c r="J219" s="341">
        <f>SUM(J216:J218)</f>
        <v>0</v>
      </c>
      <c r="K219" s="342"/>
      <c r="L219" s="338"/>
      <c r="M219" s="10"/>
    </row>
    <row r="220" spans="1:20" ht="25" customHeight="1">
      <c r="A220" s="5"/>
      <c r="B220" s="343"/>
      <c r="C220" s="344"/>
      <c r="D220" s="344"/>
      <c r="E220" s="344"/>
      <c r="F220" s="345"/>
      <c r="G220" s="346"/>
      <c r="H220" s="346"/>
      <c r="I220" s="347"/>
      <c r="J220" s="347"/>
      <c r="K220" s="348"/>
      <c r="L220" s="5"/>
      <c r="M220" s="10"/>
    </row>
    <row r="221" spans="1:20" ht="25" customHeight="1">
      <c r="A221" s="5"/>
      <c r="B221" s="14"/>
      <c r="C221" s="173"/>
      <c r="D221" s="349"/>
      <c r="E221" s="261"/>
      <c r="F221" s="277"/>
      <c r="G221" s="350"/>
      <c r="H221" s="173"/>
      <c r="I221" s="351"/>
      <c r="J221" s="352"/>
      <c r="K221" s="174"/>
      <c r="L221" s="5"/>
      <c r="M221" s="10"/>
    </row>
    <row r="222" spans="1:20" ht="25" customHeight="1">
      <c r="A222" s="353"/>
      <c r="B222" s="354"/>
      <c r="C222" s="212"/>
      <c r="D222" s="242"/>
      <c r="E222" s="355"/>
      <c r="F222" s="356"/>
      <c r="G222" s="357"/>
      <c r="H222" s="212"/>
      <c r="I222" s="358"/>
      <c r="J222" s="359"/>
      <c r="K222" s="214"/>
      <c r="L222" s="360"/>
      <c r="M222" s="10"/>
    </row>
    <row r="223" spans="1:20" s="361" customFormat="1" ht="25" customHeight="1">
      <c r="B223" s="362"/>
      <c r="C223" s="363"/>
      <c r="D223" s="364"/>
      <c r="E223" s="365"/>
      <c r="F223" s="366"/>
      <c r="G223" s="367"/>
      <c r="H223" s="363"/>
      <c r="I223" s="368"/>
      <c r="J223" s="369"/>
      <c r="K223" s="370"/>
    </row>
    <row r="224" spans="1:20" s="361" customFormat="1" ht="25" customHeight="1">
      <c r="B224" s="371" t="s">
        <v>266</v>
      </c>
      <c r="C224" s="363"/>
      <c r="D224" s="363"/>
      <c r="E224" s="363"/>
      <c r="F224" s="372"/>
      <c r="G224" s="373"/>
      <c r="H224" s="374"/>
      <c r="I224" s="374"/>
      <c r="J224" s="374"/>
      <c r="K224" s="375"/>
      <c r="L224" s="369"/>
      <c r="M224" s="369"/>
      <c r="N224" s="369"/>
    </row>
    <row r="225" spans="1:23" s="361" customFormat="1" ht="25" customHeight="1">
      <c r="B225" s="371" t="s">
        <v>267</v>
      </c>
      <c r="C225" s="363"/>
      <c r="D225" s="363"/>
      <c r="E225" s="363"/>
      <c r="F225" s="372"/>
      <c r="G225" s="373"/>
      <c r="H225" s="374"/>
      <c r="I225" s="374"/>
      <c r="J225" s="374"/>
      <c r="K225" s="375"/>
      <c r="L225" s="369"/>
      <c r="M225" s="369"/>
      <c r="N225" s="369"/>
    </row>
    <row r="226" spans="1:23" s="361" customFormat="1" ht="25" customHeight="1">
      <c r="B226" s="376" t="s">
        <v>268</v>
      </c>
      <c r="C226" s="363"/>
      <c r="D226" s="363"/>
      <c r="E226" s="363"/>
      <c r="F226" s="372"/>
      <c r="G226" s="373"/>
      <c r="H226" s="374"/>
      <c r="I226" s="374"/>
      <c r="J226" s="374"/>
      <c r="K226" s="375"/>
      <c r="L226" s="369"/>
      <c r="M226" s="369"/>
      <c r="N226" s="369"/>
    </row>
    <row r="227" spans="1:23" s="361" customFormat="1" ht="25" customHeight="1">
      <c r="B227" s="371" t="s">
        <v>269</v>
      </c>
      <c r="C227" s="363"/>
      <c r="D227" s="363"/>
      <c r="E227" s="363"/>
      <c r="F227" s="372"/>
      <c r="G227" s="373"/>
      <c r="H227" s="374"/>
      <c r="I227" s="374"/>
      <c r="J227" s="374"/>
      <c r="K227" s="375"/>
      <c r="L227" s="369"/>
      <c r="M227" s="369"/>
      <c r="N227" s="369"/>
    </row>
    <row r="228" spans="1:23" s="361" customFormat="1" ht="25" customHeight="1">
      <c r="B228" s="371" t="s">
        <v>270</v>
      </c>
      <c r="C228" s="363"/>
      <c r="D228" s="363"/>
      <c r="E228" s="363"/>
      <c r="F228" s="372"/>
      <c r="G228" s="373"/>
      <c r="H228" s="374"/>
      <c r="I228" s="374"/>
      <c r="J228" s="374"/>
      <c r="K228" s="375"/>
      <c r="L228" s="369"/>
      <c r="M228" s="369"/>
      <c r="N228" s="369"/>
    </row>
    <row r="229" spans="1:23" s="361" customFormat="1" ht="25" customHeight="1">
      <c r="B229" s="362"/>
      <c r="C229" s="363"/>
      <c r="D229" s="363"/>
      <c r="E229" s="363"/>
      <c r="F229" s="372"/>
      <c r="G229" s="373"/>
      <c r="H229" s="374"/>
      <c r="I229" s="374"/>
      <c r="J229" s="374"/>
      <c r="K229" s="375"/>
      <c r="L229" s="369"/>
      <c r="M229" s="369"/>
      <c r="N229" s="369"/>
    </row>
    <row r="230" spans="1:23" s="361" customFormat="1" ht="25" customHeight="1">
      <c r="B230" s="362"/>
      <c r="C230" s="363"/>
      <c r="D230" s="363"/>
      <c r="E230" s="363"/>
      <c r="F230" s="372"/>
      <c r="G230" s="373"/>
      <c r="H230" s="374"/>
      <c r="I230" s="374"/>
      <c r="J230" s="374"/>
      <c r="K230" s="375"/>
      <c r="L230" s="369"/>
      <c r="M230" s="369"/>
      <c r="N230" s="369"/>
    </row>
    <row r="231" spans="1:23" s="361" customFormat="1" ht="25" customHeight="1">
      <c r="B231" s="362"/>
      <c r="C231" s="363"/>
      <c r="D231" s="363"/>
      <c r="E231" s="363"/>
      <c r="F231" s="372"/>
      <c r="G231" s="373"/>
      <c r="H231" s="374"/>
      <c r="I231" s="374"/>
      <c r="J231" s="374"/>
      <c r="K231" s="375"/>
      <c r="L231" s="369"/>
      <c r="M231" s="369"/>
      <c r="N231" s="369"/>
    </row>
    <row r="232" spans="1:23" s="361" customFormat="1" ht="25" customHeight="1">
      <c r="B232" s="362"/>
      <c r="C232" s="363"/>
      <c r="D232" s="363"/>
      <c r="E232" s="363"/>
      <c r="F232" s="372"/>
      <c r="G232" s="373"/>
      <c r="H232" s="374"/>
      <c r="I232" s="374"/>
      <c r="J232" s="374"/>
      <c r="K232" s="375"/>
      <c r="L232" s="369"/>
      <c r="M232" s="369"/>
      <c r="N232" s="369"/>
    </row>
    <row r="233" spans="1:23" s="377" customFormat="1" ht="25" customHeight="1">
      <c r="A233" s="361"/>
      <c r="B233" s="362"/>
      <c r="C233" s="363"/>
      <c r="D233" s="363"/>
      <c r="E233" s="363"/>
      <c r="F233" s="372"/>
      <c r="G233" s="373"/>
      <c r="H233" s="374"/>
      <c r="I233" s="374"/>
      <c r="J233" s="374"/>
      <c r="K233" s="375"/>
      <c r="L233" s="369"/>
      <c r="M233" s="369"/>
      <c r="N233" s="369"/>
      <c r="O233" s="361"/>
      <c r="P233" s="361"/>
      <c r="Q233" s="361"/>
      <c r="R233" s="361"/>
      <c r="S233" s="361"/>
      <c r="T233" s="361"/>
      <c r="U233" s="361"/>
      <c r="V233" s="361"/>
      <c r="W233" s="361"/>
    </row>
    <row r="234" spans="1:23" s="361" customFormat="1" ht="25" customHeight="1">
      <c r="B234" s="362"/>
      <c r="C234" s="363"/>
      <c r="D234" s="363"/>
      <c r="E234" s="363"/>
      <c r="F234" s="372"/>
      <c r="G234" s="373"/>
      <c r="H234" s="374"/>
      <c r="I234" s="374"/>
      <c r="J234" s="374"/>
      <c r="K234" s="375"/>
      <c r="L234" s="369"/>
      <c r="M234" s="369"/>
      <c r="N234" s="369"/>
    </row>
    <row r="235" spans="1:23" s="361" customFormat="1" ht="25" customHeight="1">
      <c r="B235" s="362"/>
      <c r="C235" s="363"/>
      <c r="D235" s="363"/>
      <c r="E235" s="363"/>
      <c r="F235" s="372"/>
      <c r="G235" s="373"/>
      <c r="H235" s="374"/>
      <c r="I235" s="374"/>
      <c r="J235" s="374"/>
      <c r="K235" s="375"/>
      <c r="L235" s="369"/>
      <c r="M235" s="369"/>
      <c r="N235" s="369"/>
    </row>
    <row r="236" spans="1:23" s="361" customFormat="1" ht="25" customHeight="1">
      <c r="B236" s="362"/>
      <c r="C236" s="363"/>
      <c r="D236" s="363"/>
      <c r="E236" s="363"/>
      <c r="F236" s="372"/>
      <c r="G236" s="373"/>
      <c r="H236" s="374"/>
      <c r="I236" s="374"/>
      <c r="J236" s="374"/>
      <c r="K236" s="375"/>
      <c r="L236" s="369"/>
      <c r="M236" s="369"/>
      <c r="N236" s="369"/>
    </row>
    <row r="237" spans="1:23" s="361" customFormat="1" ht="25" customHeight="1">
      <c r="B237" s="362"/>
      <c r="C237" s="363"/>
      <c r="D237" s="363"/>
      <c r="E237" s="363"/>
      <c r="F237" s="372"/>
      <c r="G237" s="373"/>
      <c r="H237" s="374"/>
      <c r="I237" s="374"/>
      <c r="J237" s="374"/>
      <c r="K237" s="375"/>
      <c r="L237" s="369"/>
      <c r="M237" s="369"/>
      <c r="N237" s="369"/>
    </row>
    <row r="238" spans="1:23" s="361" customFormat="1" ht="25" customHeight="1">
      <c r="B238" s="362"/>
      <c r="C238" s="363"/>
      <c r="D238" s="363"/>
      <c r="E238" s="363"/>
      <c r="F238" s="372"/>
      <c r="G238" s="373"/>
      <c r="H238" s="374"/>
      <c r="I238" s="374"/>
      <c r="J238" s="374"/>
      <c r="K238" s="375"/>
      <c r="L238" s="369"/>
      <c r="M238" s="369"/>
      <c r="N238" s="369"/>
    </row>
    <row r="239" spans="1:23" s="361" customFormat="1" ht="25" customHeight="1">
      <c r="B239" s="362"/>
      <c r="C239" s="363"/>
      <c r="D239" s="363"/>
      <c r="E239" s="363"/>
      <c r="F239" s="372"/>
      <c r="G239" s="373"/>
      <c r="H239" s="374"/>
      <c r="I239" s="374"/>
      <c r="J239" s="374"/>
      <c r="K239" s="375"/>
      <c r="L239" s="369"/>
      <c r="M239" s="369"/>
      <c r="N239" s="369"/>
    </row>
    <row r="240" spans="1:23" s="361" customFormat="1" ht="25" customHeight="1">
      <c r="B240" s="362"/>
      <c r="C240" s="363"/>
      <c r="D240" s="363"/>
      <c r="E240" s="363"/>
      <c r="F240" s="372"/>
      <c r="G240" s="373"/>
      <c r="H240" s="374"/>
      <c r="I240" s="374"/>
      <c r="J240" s="374"/>
      <c r="K240" s="375"/>
      <c r="L240" s="369"/>
      <c r="M240" s="369"/>
      <c r="N240" s="369"/>
    </row>
    <row r="241" spans="2:14" s="361" customFormat="1" ht="25" customHeight="1">
      <c r="B241" s="362"/>
      <c r="C241" s="363"/>
      <c r="D241" s="363"/>
      <c r="E241" s="363"/>
      <c r="F241" s="372"/>
      <c r="G241" s="373"/>
      <c r="H241" s="374"/>
      <c r="I241" s="374"/>
      <c r="J241" s="374"/>
      <c r="K241" s="375"/>
      <c r="L241" s="369"/>
      <c r="M241" s="369"/>
      <c r="N241" s="369"/>
    </row>
    <row r="242" spans="2:14" s="361" customFormat="1" ht="25" customHeight="1">
      <c r="B242" s="362"/>
      <c r="C242" s="363"/>
      <c r="D242" s="363"/>
      <c r="E242" s="363"/>
      <c r="F242" s="372"/>
      <c r="G242" s="373"/>
      <c r="H242" s="374"/>
      <c r="I242" s="374"/>
      <c r="J242" s="374"/>
      <c r="K242" s="375"/>
      <c r="L242" s="369"/>
      <c r="M242" s="369"/>
      <c r="N242" s="369"/>
    </row>
    <row r="243" spans="2:14" s="361" customFormat="1" ht="25" customHeight="1">
      <c r="B243" s="362"/>
      <c r="C243" s="363"/>
      <c r="D243" s="363"/>
      <c r="E243" s="363"/>
      <c r="F243" s="372"/>
      <c r="G243" s="373"/>
      <c r="H243" s="374"/>
      <c r="I243" s="374"/>
      <c r="J243" s="374"/>
      <c r="K243" s="375"/>
      <c r="L243" s="369"/>
      <c r="M243" s="369"/>
      <c r="N243" s="369"/>
    </row>
    <row r="244" spans="2:14" s="361" customFormat="1" ht="25" customHeight="1">
      <c r="B244" s="362"/>
      <c r="C244" s="363"/>
      <c r="D244" s="363"/>
      <c r="E244" s="363"/>
      <c r="F244" s="372"/>
      <c r="G244" s="373"/>
      <c r="H244" s="374"/>
      <c r="I244" s="374"/>
      <c r="J244" s="374"/>
      <c r="K244" s="375"/>
      <c r="L244" s="369"/>
      <c r="M244" s="369"/>
      <c r="N244" s="369"/>
    </row>
    <row r="245" spans="2:14" s="361" customFormat="1" ht="25" customHeight="1">
      <c r="B245" s="362"/>
      <c r="C245" s="363"/>
      <c r="D245" s="363"/>
      <c r="E245" s="363"/>
      <c r="F245" s="372"/>
      <c r="G245" s="373"/>
      <c r="H245" s="374"/>
      <c r="I245" s="374"/>
      <c r="J245" s="374"/>
      <c r="K245" s="375"/>
      <c r="L245" s="369"/>
      <c r="M245" s="369"/>
      <c r="N245" s="369"/>
    </row>
    <row r="246" spans="2:14" s="361" customFormat="1" ht="25" customHeight="1">
      <c r="B246" s="362"/>
      <c r="C246" s="363"/>
      <c r="D246" s="363"/>
      <c r="E246" s="363"/>
      <c r="F246" s="372"/>
      <c r="G246" s="373"/>
      <c r="H246" s="374"/>
      <c r="I246" s="374"/>
      <c r="J246" s="374"/>
      <c r="K246" s="375"/>
      <c r="L246" s="369"/>
      <c r="M246" s="369"/>
      <c r="N246" s="369"/>
    </row>
    <row r="247" spans="2:14" s="361" customFormat="1" ht="25" customHeight="1">
      <c r="B247" s="362"/>
      <c r="C247" s="363"/>
      <c r="D247" s="363"/>
      <c r="E247" s="363"/>
      <c r="F247" s="372"/>
      <c r="G247" s="373"/>
      <c r="H247" s="374"/>
      <c r="I247" s="374"/>
      <c r="J247" s="374"/>
      <c r="K247" s="375"/>
      <c r="L247" s="369"/>
      <c r="M247" s="369"/>
      <c r="N247" s="369"/>
    </row>
    <row r="248" spans="2:14" s="361" customFormat="1" ht="25" customHeight="1">
      <c r="B248" s="362"/>
      <c r="C248" s="363"/>
      <c r="D248" s="363"/>
      <c r="E248" s="363"/>
      <c r="F248" s="372"/>
      <c r="G248" s="373"/>
      <c r="H248" s="374"/>
      <c r="I248" s="374"/>
      <c r="J248" s="374"/>
      <c r="K248" s="375"/>
      <c r="L248" s="369"/>
      <c r="M248" s="369"/>
      <c r="N248" s="369"/>
    </row>
    <row r="249" spans="2:14" s="361" customFormat="1" ht="25" customHeight="1">
      <c r="B249" s="362"/>
      <c r="C249" s="363"/>
      <c r="D249" s="363"/>
      <c r="E249" s="363"/>
      <c r="F249" s="372"/>
      <c r="G249" s="373"/>
      <c r="H249" s="374"/>
      <c r="I249" s="374"/>
      <c r="J249" s="374"/>
      <c r="K249" s="375"/>
      <c r="L249" s="369"/>
      <c r="M249" s="369"/>
      <c r="N249" s="369"/>
    </row>
    <row r="250" spans="2:14" s="361" customFormat="1" ht="25" customHeight="1">
      <c r="B250" s="362"/>
      <c r="C250" s="363"/>
      <c r="D250" s="363"/>
      <c r="E250" s="363"/>
      <c r="F250" s="372"/>
      <c r="G250" s="373"/>
      <c r="H250" s="374"/>
      <c r="I250" s="374"/>
      <c r="J250" s="374"/>
      <c r="K250" s="375"/>
      <c r="L250" s="369"/>
      <c r="M250" s="369"/>
      <c r="N250" s="369"/>
    </row>
    <row r="251" spans="2:14" s="361" customFormat="1" ht="25" customHeight="1">
      <c r="B251" s="362"/>
      <c r="C251" s="363"/>
      <c r="D251" s="363"/>
      <c r="E251" s="363"/>
      <c r="F251" s="372"/>
      <c r="G251" s="373"/>
      <c r="H251" s="374"/>
      <c r="I251" s="374"/>
      <c r="J251" s="374"/>
      <c r="K251" s="375"/>
      <c r="L251" s="369"/>
      <c r="M251" s="369"/>
      <c r="N251" s="369"/>
    </row>
    <row r="252" spans="2:14" s="361" customFormat="1" ht="25" customHeight="1">
      <c r="B252" s="362"/>
      <c r="C252" s="363"/>
      <c r="D252" s="363"/>
      <c r="E252" s="363"/>
      <c r="F252" s="372"/>
      <c r="G252" s="373"/>
      <c r="H252" s="374"/>
      <c r="I252" s="374"/>
      <c r="J252" s="374"/>
      <c r="K252" s="375"/>
      <c r="L252" s="369"/>
      <c r="M252" s="369"/>
      <c r="N252" s="369"/>
    </row>
    <row r="253" spans="2:14" s="361" customFormat="1" ht="25" customHeight="1">
      <c r="B253" s="362"/>
      <c r="K253" s="375"/>
      <c r="M253" s="378"/>
    </row>
    <row r="254" spans="2:14" s="361" customFormat="1" ht="25" customHeight="1">
      <c r="B254" s="362"/>
      <c r="K254" s="375"/>
      <c r="M254" s="378"/>
    </row>
    <row r="255" spans="2:14" s="361" customFormat="1" ht="25" customHeight="1">
      <c r="B255" s="362"/>
      <c r="K255" s="375"/>
      <c r="M255" s="378"/>
    </row>
    <row r="256" spans="2:14" s="361" customFormat="1" ht="25" customHeight="1">
      <c r="B256" s="362"/>
      <c r="K256" s="375"/>
      <c r="M256" s="378"/>
    </row>
    <row r="257" spans="2:13" s="361" customFormat="1" ht="25" customHeight="1">
      <c r="B257" s="362"/>
      <c r="K257" s="375"/>
      <c r="M257" s="378"/>
    </row>
    <row r="258" spans="2:13" s="361" customFormat="1" ht="25" customHeight="1">
      <c r="B258" s="362"/>
      <c r="K258" s="375"/>
      <c r="M258" s="378"/>
    </row>
    <row r="259" spans="2:13" s="361" customFormat="1" ht="25" customHeight="1">
      <c r="B259" s="362"/>
      <c r="K259" s="375"/>
      <c r="M259" s="378"/>
    </row>
    <row r="260" spans="2:13" s="361" customFormat="1" ht="25" customHeight="1">
      <c r="B260" s="362"/>
      <c r="K260" s="375"/>
      <c r="M260" s="378"/>
    </row>
    <row r="261" spans="2:13" s="361" customFormat="1" ht="25" customHeight="1">
      <c r="B261" s="362"/>
      <c r="K261" s="375"/>
      <c r="M261" s="378"/>
    </row>
    <row r="262" spans="2:13" s="361" customFormat="1" ht="25" customHeight="1">
      <c r="B262" s="362"/>
      <c r="K262" s="375"/>
      <c r="M262" s="378"/>
    </row>
    <row r="263" spans="2:13" s="361" customFormat="1" ht="25" customHeight="1">
      <c r="B263" s="362"/>
      <c r="K263" s="375"/>
      <c r="M263" s="378"/>
    </row>
    <row r="264" spans="2:13" s="361" customFormat="1" ht="25" customHeight="1">
      <c r="B264" s="362"/>
      <c r="K264" s="375"/>
      <c r="M264" s="378"/>
    </row>
    <row r="265" spans="2:13" s="361" customFormat="1" ht="25" customHeight="1">
      <c r="B265" s="362"/>
      <c r="K265" s="375"/>
      <c r="M265" s="378"/>
    </row>
    <row r="266" spans="2:13" s="361" customFormat="1" ht="25" customHeight="1">
      <c r="B266" s="362"/>
      <c r="K266" s="375"/>
      <c r="M266" s="378"/>
    </row>
    <row r="267" spans="2:13" s="361" customFormat="1" ht="25" customHeight="1">
      <c r="B267" s="362"/>
      <c r="K267" s="375"/>
      <c r="M267" s="378"/>
    </row>
    <row r="268" spans="2:13" s="361" customFormat="1" ht="25" customHeight="1">
      <c r="B268" s="362"/>
      <c r="K268" s="375"/>
      <c r="M268" s="378"/>
    </row>
    <row r="269" spans="2:13" s="361" customFormat="1" ht="25" customHeight="1">
      <c r="B269" s="362"/>
      <c r="K269" s="375"/>
      <c r="M269" s="378"/>
    </row>
    <row r="270" spans="2:13" s="361" customFormat="1" ht="25" customHeight="1">
      <c r="B270" s="362"/>
      <c r="K270" s="375"/>
      <c r="M270" s="378"/>
    </row>
    <row r="271" spans="2:13" s="361" customFormat="1" ht="25" customHeight="1">
      <c r="B271" s="362"/>
      <c r="K271" s="375"/>
      <c r="M271" s="378"/>
    </row>
    <row r="272" spans="2:13" s="361" customFormat="1" ht="25" customHeight="1">
      <c r="B272" s="362"/>
      <c r="K272" s="375"/>
      <c r="M272" s="378"/>
    </row>
    <row r="273" spans="2:13" s="361" customFormat="1" ht="25" customHeight="1">
      <c r="B273" s="362"/>
      <c r="K273" s="375"/>
      <c r="M273" s="378"/>
    </row>
    <row r="274" spans="2:13" s="361" customFormat="1" ht="25" customHeight="1">
      <c r="B274" s="362"/>
      <c r="K274" s="375"/>
      <c r="M274" s="378"/>
    </row>
    <row r="275" spans="2:13" s="361" customFormat="1" ht="25" customHeight="1">
      <c r="B275" s="362"/>
      <c r="K275" s="375"/>
      <c r="M275" s="378"/>
    </row>
    <row r="276" spans="2:13" s="361" customFormat="1" ht="25" customHeight="1">
      <c r="B276" s="362"/>
      <c r="K276" s="375"/>
      <c r="M276" s="378"/>
    </row>
    <row r="277" spans="2:13" s="361" customFormat="1" ht="25" customHeight="1">
      <c r="B277" s="362"/>
      <c r="K277" s="375"/>
      <c r="M277" s="378"/>
    </row>
    <row r="278" spans="2:13" s="361" customFormat="1" ht="25" customHeight="1">
      <c r="B278" s="362"/>
      <c r="K278" s="375"/>
      <c r="M278" s="378"/>
    </row>
    <row r="279" spans="2:13" s="361" customFormat="1" ht="25" customHeight="1">
      <c r="B279" s="362"/>
      <c r="K279" s="375"/>
      <c r="M279" s="378"/>
    </row>
    <row r="280" spans="2:13" s="361" customFormat="1" ht="25" customHeight="1">
      <c r="B280" s="362"/>
      <c r="K280" s="375"/>
      <c r="M280" s="378"/>
    </row>
    <row r="281" spans="2:13" s="361" customFormat="1" ht="25" customHeight="1">
      <c r="B281" s="362"/>
      <c r="K281" s="375"/>
      <c r="M281" s="378"/>
    </row>
    <row r="282" spans="2:13" s="361" customFormat="1" ht="25" customHeight="1">
      <c r="B282" s="362"/>
      <c r="K282" s="375"/>
      <c r="M282" s="378"/>
    </row>
    <row r="283" spans="2:13" s="361" customFormat="1" ht="25" customHeight="1">
      <c r="B283" s="362"/>
      <c r="K283" s="375"/>
      <c r="M283" s="378"/>
    </row>
    <row r="284" spans="2:13" s="361" customFormat="1" ht="25" customHeight="1">
      <c r="B284" s="362"/>
      <c r="K284" s="375"/>
      <c r="M284" s="378"/>
    </row>
    <row r="285" spans="2:13" s="361" customFormat="1" ht="25" customHeight="1">
      <c r="B285" s="362"/>
      <c r="K285" s="375"/>
      <c r="M285" s="378"/>
    </row>
    <row r="286" spans="2:13" s="361" customFormat="1" ht="25" customHeight="1">
      <c r="B286" s="362"/>
      <c r="K286" s="375"/>
      <c r="M286" s="378"/>
    </row>
    <row r="287" spans="2:13" s="361" customFormat="1" ht="25" customHeight="1">
      <c r="B287" s="362"/>
      <c r="K287" s="375"/>
      <c r="M287" s="378"/>
    </row>
    <row r="288" spans="2:13" s="361" customFormat="1" ht="25" customHeight="1">
      <c r="B288" s="362"/>
      <c r="K288" s="375"/>
      <c r="M288" s="378"/>
    </row>
    <row r="289" spans="2:13" s="361" customFormat="1" ht="25" customHeight="1">
      <c r="B289" s="362"/>
      <c r="K289" s="375"/>
      <c r="M289" s="378"/>
    </row>
    <row r="290" spans="2:13" s="361" customFormat="1" ht="25" customHeight="1">
      <c r="B290" s="362"/>
      <c r="K290" s="375"/>
      <c r="M290" s="378"/>
    </row>
    <row r="291" spans="2:13" s="361" customFormat="1" ht="25" customHeight="1">
      <c r="B291" s="362"/>
      <c r="K291" s="375"/>
      <c r="M291" s="378"/>
    </row>
    <row r="292" spans="2:13" s="361" customFormat="1" ht="25" customHeight="1">
      <c r="B292" s="362"/>
      <c r="K292" s="375"/>
      <c r="M292" s="378"/>
    </row>
    <row r="293" spans="2:13" s="361" customFormat="1" ht="25" customHeight="1">
      <c r="B293" s="362"/>
      <c r="K293" s="375"/>
      <c r="M293" s="378"/>
    </row>
    <row r="294" spans="2:13" s="361" customFormat="1" ht="25" customHeight="1">
      <c r="B294" s="362"/>
      <c r="K294" s="375"/>
      <c r="M294" s="378"/>
    </row>
    <row r="295" spans="2:13" s="361" customFormat="1" ht="25" customHeight="1">
      <c r="B295" s="362"/>
      <c r="K295" s="375"/>
      <c r="M295" s="378"/>
    </row>
    <row r="296" spans="2:13" s="361" customFormat="1" ht="25" customHeight="1">
      <c r="B296" s="362"/>
      <c r="K296" s="375"/>
      <c r="M296" s="378"/>
    </row>
    <row r="297" spans="2:13" s="361" customFormat="1" ht="25" customHeight="1">
      <c r="B297" s="362"/>
      <c r="K297" s="375"/>
      <c r="M297" s="378"/>
    </row>
    <row r="298" spans="2:13" s="361" customFormat="1" ht="25" customHeight="1">
      <c r="B298" s="362"/>
      <c r="K298" s="375"/>
      <c r="M298" s="378"/>
    </row>
    <row r="299" spans="2:13" s="361" customFormat="1" ht="25" customHeight="1">
      <c r="B299" s="362"/>
      <c r="K299" s="375"/>
      <c r="M299" s="378"/>
    </row>
    <row r="300" spans="2:13" s="361" customFormat="1" ht="25" customHeight="1">
      <c r="B300" s="362"/>
      <c r="K300" s="375"/>
      <c r="M300" s="378"/>
    </row>
    <row r="301" spans="2:13" s="361" customFormat="1" ht="25" customHeight="1">
      <c r="B301" s="362"/>
      <c r="K301" s="375"/>
      <c r="M301" s="378"/>
    </row>
    <row r="302" spans="2:13" s="361" customFormat="1" ht="25" customHeight="1">
      <c r="B302" s="362"/>
      <c r="K302" s="375"/>
      <c r="M302" s="378"/>
    </row>
    <row r="303" spans="2:13" s="361" customFormat="1" ht="25" customHeight="1">
      <c r="B303" s="362"/>
      <c r="K303" s="375"/>
      <c r="M303" s="378"/>
    </row>
    <row r="315" spans="2:4" ht="25" customHeight="1">
      <c r="B315" s="379"/>
      <c r="C315" s="178"/>
      <c r="D315" s="149"/>
    </row>
  </sheetData>
  <mergeCells count="47">
    <mergeCell ref="B172:F172"/>
    <mergeCell ref="B206:G208"/>
    <mergeCell ref="B209:F209"/>
    <mergeCell ref="B139:G141"/>
    <mergeCell ref="B142:F142"/>
    <mergeCell ref="B143:F143"/>
    <mergeCell ref="B168:G170"/>
    <mergeCell ref="B171:F171"/>
    <mergeCell ref="C133:D133"/>
    <mergeCell ref="E133:F133"/>
    <mergeCell ref="G133:H133"/>
    <mergeCell ref="C134:D134"/>
    <mergeCell ref="E134:F134"/>
    <mergeCell ref="G134:H134"/>
    <mergeCell ref="B125:G127"/>
    <mergeCell ref="B129:F129"/>
    <mergeCell ref="C132:D132"/>
    <mergeCell ref="E132:F132"/>
    <mergeCell ref="G132:H132"/>
    <mergeCell ref="D106:E106"/>
    <mergeCell ref="F106:G106"/>
    <mergeCell ref="H106:I106"/>
    <mergeCell ref="B110:G112"/>
    <mergeCell ref="B114:F114"/>
    <mergeCell ref="D104:E104"/>
    <mergeCell ref="F104:G104"/>
    <mergeCell ref="H104:I104"/>
    <mergeCell ref="D105:E105"/>
    <mergeCell ref="F105:G105"/>
    <mergeCell ref="H105:I105"/>
    <mergeCell ref="H100:I100"/>
    <mergeCell ref="D102:E102"/>
    <mergeCell ref="F102:G102"/>
    <mergeCell ref="H102:I102"/>
    <mergeCell ref="D103:E103"/>
    <mergeCell ref="F103:G103"/>
    <mergeCell ref="H103:I103"/>
    <mergeCell ref="B60:E60"/>
    <mergeCell ref="B70:E70"/>
    <mergeCell ref="B87:G89"/>
    <mergeCell ref="D100:E100"/>
    <mergeCell ref="F100:G100"/>
    <mergeCell ref="B4:C4"/>
    <mergeCell ref="B15:G17"/>
    <mergeCell ref="B19:F19"/>
    <mergeCell ref="B24:E24"/>
    <mergeCell ref="B45:E45"/>
  </mergeCells>
  <conditionalFormatting sqref="I26:I39 K26:K39 I47:I56 K47:K56 I62:I65 K62:K65 I72:I74 K72:K74 I81:I83 K81:K83 I95:I96 K95:K96 I118:I120 K118:K120 J119:J120">
    <cfRule type="cellIs" dxfId="12" priority="1" operator="greaterThan">
      <formula>0</formula>
    </cfRule>
  </conditionalFormatting>
  <hyperlinks>
    <hyperlink ref="B10:C10" r:id="rId1" display="hello@safespring.com" xr:uid="{00000000-0004-0000-0100-000000000000}"/>
    <hyperlink ref="B10" r:id="rId2" xr:uid="{00000000-0004-0000-0100-000001000000}"/>
    <hyperlink ref="B60" location="'SEK - Safesprings tjänster 2022'!I83" display="Central blocklagring kan köpas till instansene. Se &quot;Central blocklagring&quot; i prislistan." xr:uid="{00000000-0004-0000-0100-000002000000}"/>
    <hyperlink ref="B60:E60" location="'SEK - Safesprings tjänster 2022'!I81" display="Central blocklagring kan köpas till instansene. Se &quot;Central blocklagring&quot; i prislistan." xr:uid="{00000000-0004-0000-0100-000003000000}"/>
    <hyperlink ref="B70" location="'SEK - Safesprings tjänster 2022'!I83" display="Central blocklagring kan köpas till instansene. Se &quot;Central blocklagring&quot; i prislistan." xr:uid="{00000000-0004-0000-0100-000004000000}"/>
    <hyperlink ref="B70:E70" location="'SEK - Safesprings tjänster 2022'!I81" display="Central blocklagring kan köpas till instansene. Se &quot;Central blocklagring&quot; i prislistan." xr:uid="{00000000-0004-0000-0100-000005000000}"/>
    <hyperlink ref="B213" r:id="rId3" xr:uid="{00000000-0004-0000-0100-000006000000}"/>
  </hyperlinks>
  <pageMargins left="0" right="0" top="0" bottom="0" header="0" footer="0"/>
  <pageSetup paperSize="9" scale="17" orientation="portrait"/>
  <headerFooter>
    <oddFooter>&amp;C&amp;P av &amp;N</odd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314"/>
  <sheetViews>
    <sheetView showGridLines="0" zoomScale="120" workbookViewId="0"/>
  </sheetViews>
  <sheetFormatPr baseColWidth="10" defaultColWidth="15" defaultRowHeight="25" customHeight="1"/>
  <cols>
    <col min="1" max="1" width="11.83203125" style="1" bestFit="1" customWidth="1"/>
    <col min="2" max="2" width="30.83203125" style="2" bestFit="1" customWidth="1"/>
    <col min="3" max="10" width="14.83203125" style="1" bestFit="1" customWidth="1"/>
    <col min="11" max="11" width="14.83203125" style="383" bestFit="1" customWidth="1"/>
    <col min="12" max="12" width="14.83203125" style="1" bestFit="1" customWidth="1"/>
    <col min="13" max="13" width="14.83203125" style="4" bestFit="1" customWidth="1"/>
    <col min="14" max="14" width="14.83203125" style="1" bestFit="1" customWidth="1"/>
    <col min="15" max="15" width="15" style="1" bestFit="1"/>
    <col min="16" max="16" width="15" style="1" bestFit="1" customWidth="1"/>
    <col min="17" max="17" width="15" style="1" bestFit="1"/>
    <col min="18" max="16384" width="15" style="1"/>
  </cols>
  <sheetData>
    <row r="1" spans="1:26" ht="25" customHeight="1">
      <c r="A1" s="5"/>
      <c r="B1" s="6"/>
      <c r="C1" s="7"/>
      <c r="D1" s="5"/>
      <c r="E1" s="5"/>
      <c r="F1" s="5"/>
      <c r="G1" s="5"/>
      <c r="H1" s="5"/>
      <c r="I1" s="5"/>
      <c r="J1" s="5"/>
      <c r="K1" s="384"/>
      <c r="L1" s="9"/>
      <c r="M1" s="10"/>
    </row>
    <row r="2" spans="1:26" ht="25" customHeight="1">
      <c r="A2" s="5"/>
      <c r="B2" s="6"/>
      <c r="C2" s="7"/>
      <c r="D2" s="5"/>
      <c r="E2" s="5"/>
      <c r="F2" s="5"/>
      <c r="G2" s="5"/>
      <c r="H2" s="5"/>
      <c r="I2" s="5"/>
      <c r="J2" s="5"/>
      <c r="K2" s="384"/>
      <c r="L2" s="9"/>
      <c r="M2" s="10"/>
    </row>
    <row r="3" spans="1:26" ht="25" customHeight="1">
      <c r="A3" s="5"/>
      <c r="B3" s="6"/>
      <c r="C3" s="7"/>
      <c r="D3" s="5"/>
      <c r="E3" s="5"/>
      <c r="F3" s="5"/>
      <c r="G3" s="5"/>
      <c r="H3" s="5"/>
      <c r="I3" s="5"/>
      <c r="J3" s="5"/>
      <c r="K3" s="384"/>
      <c r="L3" s="9"/>
      <c r="M3" s="10"/>
    </row>
    <row r="4" spans="1:26" ht="25" customHeight="1">
      <c r="A4" s="5"/>
      <c r="B4" s="533"/>
      <c r="C4" s="533"/>
      <c r="D4" s="5"/>
      <c r="E4" s="5"/>
      <c r="F4" s="5"/>
      <c r="G4" s="5"/>
      <c r="H4" s="5"/>
      <c r="I4" s="5"/>
      <c r="J4" s="5"/>
      <c r="K4" s="384"/>
      <c r="L4" s="9"/>
      <c r="M4" s="10"/>
    </row>
    <row r="5" spans="1:26" ht="25" customHeight="1">
      <c r="A5" s="5"/>
      <c r="B5" s="11" t="s">
        <v>327</v>
      </c>
      <c r="C5" s="12"/>
      <c r="D5" s="5"/>
      <c r="E5" s="5"/>
      <c r="F5" s="5"/>
      <c r="G5" s="5"/>
      <c r="H5" s="5"/>
      <c r="I5" s="5"/>
      <c r="J5" s="5"/>
      <c r="K5" s="384"/>
      <c r="L5" s="9"/>
      <c r="M5" s="10"/>
    </row>
    <row r="6" spans="1:26" ht="25" customHeight="1">
      <c r="A6" s="5"/>
      <c r="B6" s="13"/>
      <c r="C6" s="7"/>
      <c r="D6" s="5"/>
      <c r="E6" s="5"/>
      <c r="F6" s="5"/>
      <c r="G6" s="5"/>
      <c r="H6" s="5"/>
      <c r="I6" s="5"/>
      <c r="J6" s="5"/>
      <c r="K6" s="384"/>
      <c r="L6" s="9"/>
      <c r="M6" s="10"/>
    </row>
    <row r="7" spans="1:26" ht="25" customHeight="1">
      <c r="A7" s="5"/>
      <c r="B7" s="14"/>
      <c r="C7" s="7"/>
      <c r="D7" s="5"/>
      <c r="E7" s="5"/>
      <c r="F7" s="5"/>
      <c r="G7" s="5"/>
      <c r="H7" s="5"/>
      <c r="I7" s="5"/>
      <c r="J7" s="5"/>
      <c r="K7" s="384"/>
      <c r="L7" s="9"/>
      <c r="M7" s="10"/>
    </row>
    <row r="8" spans="1:26" ht="25" customHeight="1">
      <c r="A8" s="5"/>
      <c r="B8" s="15" t="s">
        <v>202</v>
      </c>
      <c r="C8" s="7"/>
      <c r="D8" s="16" t="s">
        <v>2</v>
      </c>
      <c r="E8" s="5"/>
      <c r="F8" s="5"/>
      <c r="G8" s="5"/>
      <c r="H8" s="5"/>
      <c r="I8" s="5"/>
      <c r="J8" s="5"/>
      <c r="K8" s="384"/>
      <c r="L8" s="9"/>
      <c r="M8" s="10"/>
    </row>
    <row r="9" spans="1:26" ht="25" customHeight="1">
      <c r="A9" s="5"/>
      <c r="B9" s="17" t="s">
        <v>328</v>
      </c>
      <c r="C9" s="7"/>
      <c r="D9" s="5"/>
      <c r="E9" s="5"/>
      <c r="F9" s="5"/>
      <c r="G9" s="5"/>
      <c r="H9" s="5"/>
      <c r="I9" s="5"/>
      <c r="J9" s="5"/>
      <c r="K9" s="384"/>
      <c r="L9" s="9"/>
      <c r="M9" s="10"/>
    </row>
    <row r="10" spans="1:26" ht="25" customHeight="1">
      <c r="A10" s="5"/>
      <c r="B10" s="18" t="s">
        <v>4</v>
      </c>
      <c r="C10" s="19"/>
      <c r="D10" s="5"/>
      <c r="E10" s="5"/>
      <c r="F10" s="5"/>
      <c r="G10" s="5"/>
      <c r="H10" s="5"/>
      <c r="I10" s="5"/>
      <c r="J10" s="5"/>
      <c r="K10" s="384"/>
      <c r="L10" s="9"/>
      <c r="M10" s="10"/>
    </row>
    <row r="11" spans="1:26" s="20" customFormat="1" ht="25" customHeight="1">
      <c r="A11" s="21"/>
      <c r="B11" s="22"/>
      <c r="C11" s="23"/>
      <c r="D11" s="385" t="s">
        <v>329</v>
      </c>
      <c r="E11" s="21"/>
      <c r="F11" s="21"/>
      <c r="G11" s="24"/>
      <c r="H11" s="24"/>
      <c r="I11" s="25"/>
      <c r="J11" s="21"/>
      <c r="K11" s="386"/>
      <c r="L11" s="27"/>
      <c r="M11" s="10"/>
    </row>
    <row r="12" spans="1:26" s="20" customFormat="1" ht="25" customHeight="1">
      <c r="A12" s="28"/>
      <c r="B12" s="29"/>
      <c r="C12" s="30"/>
      <c r="D12" s="28"/>
      <c r="E12" s="28"/>
      <c r="F12" s="28"/>
      <c r="G12" s="31"/>
      <c r="H12" s="31"/>
      <c r="I12" s="32"/>
      <c r="J12" s="28"/>
      <c r="K12" s="387"/>
      <c r="L12" s="34"/>
      <c r="M12" s="10"/>
    </row>
    <row r="13" spans="1:26" s="20" customFormat="1" ht="25" customHeight="1">
      <c r="B13" s="35"/>
      <c r="G13" s="36"/>
      <c r="H13" s="36"/>
      <c r="I13" s="37"/>
      <c r="K13" s="388"/>
      <c r="L13" s="39"/>
      <c r="M13" s="10"/>
    </row>
    <row r="14" spans="1:26" s="20" customFormat="1" ht="25" customHeight="1">
      <c r="B14" s="35"/>
      <c r="G14" s="36"/>
      <c r="H14" s="36"/>
      <c r="I14" s="37"/>
      <c r="K14" s="388"/>
      <c r="L14" s="39"/>
      <c r="M14" s="10"/>
    </row>
    <row r="15" spans="1:26" s="20" customFormat="1" ht="25" customHeight="1">
      <c r="B15" s="534" t="s">
        <v>204</v>
      </c>
      <c r="C15" s="534"/>
      <c r="D15" s="534"/>
      <c r="E15" s="534"/>
      <c r="F15" s="534"/>
      <c r="G15" s="534"/>
      <c r="H15" s="37"/>
      <c r="J15" s="40"/>
      <c r="K15" s="388"/>
      <c r="L15" s="39"/>
      <c r="M15" s="10"/>
      <c r="S15" s="41"/>
      <c r="X15" s="41"/>
      <c r="Y15" s="41"/>
      <c r="Z15" s="41"/>
    </row>
    <row r="16" spans="1:26" s="20" customFormat="1" ht="25" customHeight="1">
      <c r="B16" s="534"/>
      <c r="C16" s="534"/>
      <c r="D16" s="534"/>
      <c r="E16" s="534"/>
      <c r="F16" s="534"/>
      <c r="G16" s="534"/>
      <c r="H16" s="37"/>
      <c r="J16" s="40"/>
      <c r="K16" s="388"/>
      <c r="L16" s="39"/>
      <c r="M16" s="10"/>
      <c r="S16" s="41"/>
      <c r="X16" s="41"/>
      <c r="Y16" s="41"/>
      <c r="Z16" s="41"/>
    </row>
    <row r="17" spans="2:26" s="20" customFormat="1" ht="25" customHeight="1">
      <c r="B17" s="534"/>
      <c r="C17" s="534"/>
      <c r="D17" s="534"/>
      <c r="E17" s="534"/>
      <c r="F17" s="534"/>
      <c r="G17" s="534"/>
      <c r="H17" s="37"/>
      <c r="J17" s="40"/>
      <c r="K17" s="388"/>
      <c r="L17" s="39"/>
      <c r="M17" s="10"/>
      <c r="S17" s="41"/>
      <c r="X17" s="41"/>
      <c r="Y17" s="41"/>
      <c r="Z17" s="41"/>
    </row>
    <row r="18" spans="2:26" s="20" customFormat="1" ht="25" customHeight="1">
      <c r="B18" s="42" t="s">
        <v>330</v>
      </c>
      <c r="C18" s="43"/>
      <c r="D18" s="43"/>
      <c r="E18" s="43"/>
      <c r="F18" s="43"/>
      <c r="H18" s="37"/>
      <c r="J18" s="40"/>
      <c r="K18" s="388"/>
      <c r="L18" s="39"/>
      <c r="M18" s="10"/>
      <c r="S18" s="41"/>
      <c r="T18" s="41"/>
      <c r="U18" s="41"/>
      <c r="V18" s="41"/>
      <c r="W18" s="41"/>
      <c r="X18" s="41"/>
      <c r="Y18" s="41"/>
      <c r="Z18" s="41"/>
    </row>
    <row r="19" spans="2:26" s="20" customFormat="1" ht="25" customHeight="1">
      <c r="B19" s="44" t="s">
        <v>331</v>
      </c>
      <c r="C19" s="44"/>
      <c r="D19" s="44"/>
      <c r="E19" s="44"/>
      <c r="F19" s="44"/>
      <c r="G19" s="45"/>
      <c r="H19" s="46"/>
      <c r="J19" s="47"/>
      <c r="K19" s="389"/>
      <c r="L19" s="49"/>
      <c r="M19" s="10"/>
      <c r="S19" s="41"/>
      <c r="T19" s="41"/>
      <c r="U19" s="41"/>
      <c r="V19" s="41"/>
      <c r="W19" s="41"/>
      <c r="X19" s="41"/>
      <c r="Y19" s="41"/>
      <c r="Z19" s="41"/>
    </row>
    <row r="20" spans="2:26" s="20" customFormat="1" ht="25" customHeight="1">
      <c r="B20" s="380" t="s">
        <v>332</v>
      </c>
      <c r="C20" s="51"/>
      <c r="D20" s="51"/>
      <c r="E20" s="52"/>
      <c r="F20" s="52"/>
      <c r="G20" s="45"/>
      <c r="H20" s="46"/>
      <c r="I20" s="45"/>
      <c r="J20" s="47"/>
      <c r="K20" s="389"/>
      <c r="L20" s="191"/>
      <c r="M20" s="10"/>
      <c r="O20" s="41"/>
      <c r="P20" s="41"/>
    </row>
    <row r="21" spans="2:26" s="20" customFormat="1" ht="25" customHeight="1">
      <c r="B21" s="44"/>
      <c r="C21" s="52"/>
      <c r="D21" s="52"/>
      <c r="E21" s="52"/>
      <c r="F21" s="52"/>
      <c r="G21" s="45"/>
      <c r="H21" s="46"/>
      <c r="I21" s="45"/>
      <c r="J21" s="47"/>
      <c r="K21" s="389"/>
      <c r="L21" s="49"/>
      <c r="M21" s="10"/>
      <c r="P21" s="1"/>
      <c r="Q21" s="1"/>
      <c r="R21" s="1"/>
      <c r="S21" s="41"/>
      <c r="T21" s="41"/>
      <c r="U21" s="41"/>
      <c r="V21" s="41"/>
      <c r="W21" s="41"/>
      <c r="X21" s="41"/>
      <c r="Y21" s="53"/>
      <c r="Z21" s="41"/>
    </row>
    <row r="22" spans="2:26" s="20" customFormat="1" ht="25" customHeight="1">
      <c r="B22" s="44"/>
      <c r="C22" s="52"/>
      <c r="D22" s="52"/>
      <c r="E22" s="52"/>
      <c r="F22" s="52"/>
      <c r="G22" s="45"/>
      <c r="H22" s="46"/>
      <c r="I22" s="45"/>
      <c r="J22" s="47"/>
      <c r="K22" s="389"/>
      <c r="L22" s="49"/>
      <c r="M22" s="10"/>
      <c r="P22" s="1"/>
      <c r="Q22" s="1"/>
      <c r="R22" s="1"/>
      <c r="S22" s="41"/>
      <c r="T22" s="41"/>
      <c r="U22" s="41"/>
      <c r="V22" s="41"/>
      <c r="W22" s="41"/>
      <c r="X22" s="41"/>
      <c r="Y22" s="53"/>
      <c r="Z22" s="41"/>
    </row>
    <row r="23" spans="2:26" s="55" customFormat="1" ht="25" customHeight="1">
      <c r="B23" s="56" t="s">
        <v>9</v>
      </c>
      <c r="C23" s="57"/>
      <c r="D23" s="57"/>
      <c r="E23" s="57"/>
      <c r="F23" s="57"/>
      <c r="G23" s="57"/>
      <c r="H23" s="58"/>
      <c r="I23" s="59"/>
      <c r="J23" s="59"/>
      <c r="K23" s="390"/>
      <c r="M23" s="10"/>
      <c r="P23" s="61"/>
      <c r="Q23" s="61"/>
      <c r="R23" s="62"/>
    </row>
    <row r="24" spans="2:26" ht="25" customHeight="1">
      <c r="B24" s="161" t="s">
        <v>333</v>
      </c>
      <c r="C24" s="161"/>
      <c r="D24" s="161"/>
      <c r="E24" s="161"/>
      <c r="F24" s="161"/>
      <c r="M24" s="10"/>
    </row>
    <row r="25" spans="2:26" s="63" customFormat="1" ht="25" customHeight="1">
      <c r="B25" s="64" t="s">
        <v>11</v>
      </c>
      <c r="C25" s="65" t="s">
        <v>12</v>
      </c>
      <c r="D25" s="65" t="s">
        <v>334</v>
      </c>
      <c r="E25" s="66" t="s">
        <v>14</v>
      </c>
      <c r="F25" s="66" t="s">
        <v>209</v>
      </c>
      <c r="G25" s="66" t="s">
        <v>335</v>
      </c>
      <c r="H25" s="65"/>
      <c r="I25" s="67" t="s">
        <v>58</v>
      </c>
      <c r="J25" s="65"/>
      <c r="K25" s="391" t="s">
        <v>18</v>
      </c>
      <c r="M25" s="10"/>
      <c r="N25" s="1"/>
      <c r="O25" s="1"/>
      <c r="P25" s="53"/>
      <c r="Q25" s="53"/>
      <c r="R25" s="69"/>
    </row>
    <row r="26" spans="2:26" s="41" customFormat="1" ht="25" customHeight="1">
      <c r="B26" s="70" t="str">
        <f>'SEK - Safesprings tjänster 2024'!B26</f>
        <v>FLAVOR-l2. c2 r4. 100</v>
      </c>
      <c r="C26" s="71">
        <f>'SEK - Safesprings tjänster 2024'!C26</f>
        <v>2</v>
      </c>
      <c r="D26" s="71">
        <f>'SEK - Safesprings tjänster 2024'!D26</f>
        <v>4</v>
      </c>
      <c r="E26" s="72">
        <f>'SEK - Safesprings tjänster 2024'!E26</f>
        <v>100</v>
      </c>
      <c r="F26" s="392">
        <f t="shared" ref="F26:F56" si="0">G26/720</f>
        <v>5.9333333333333321E-2</v>
      </c>
      <c r="G26" s="392">
        <f t="shared" ref="G26:G39" si="1">C26*IAAS_vcpu_EUR+D26*IAAS_ram_EUR+E26*IAAS_nvme_EUR</f>
        <v>42.719999999999992</v>
      </c>
      <c r="H26" s="23"/>
      <c r="I26" s="75"/>
      <c r="J26" s="23"/>
      <c r="K26" s="393">
        <f t="shared" ref="K26:K39" si="2">ROUNDUP(I26*G26,2)</f>
        <v>0</v>
      </c>
      <c r="M26" s="10"/>
      <c r="P26" s="53"/>
      <c r="R26" s="53"/>
    </row>
    <row r="27" spans="2:26" s="41" customFormat="1" ht="25" customHeight="1">
      <c r="B27" s="77" t="str">
        <f>'SEK - Safesprings tjänster 2024'!B27</f>
        <v>FLAVOR-l2. c2 r4. 500</v>
      </c>
      <c r="C27" s="78">
        <f>'SEK - Safesprings tjänster 2024'!C27</f>
        <v>2</v>
      </c>
      <c r="D27" s="78">
        <f>'SEK - Safesprings tjänster 2024'!D27</f>
        <v>4</v>
      </c>
      <c r="E27" s="79">
        <f>'SEK - Safesprings tjänster 2024'!E27</f>
        <v>500</v>
      </c>
      <c r="F27" s="394">
        <f t="shared" si="0"/>
        <v>0.10877777777777776</v>
      </c>
      <c r="G27" s="394">
        <f t="shared" si="1"/>
        <v>78.319999999999993</v>
      </c>
      <c r="H27" s="82"/>
      <c r="I27" s="75"/>
      <c r="J27" s="82"/>
      <c r="K27" s="395">
        <f t="shared" si="2"/>
        <v>0</v>
      </c>
      <c r="M27" s="10"/>
      <c r="P27" s="53"/>
      <c r="R27" s="53"/>
    </row>
    <row r="28" spans="2:26" s="41" customFormat="1" ht="25" customHeight="1">
      <c r="B28" s="70" t="str">
        <f>'SEK - Safesprings tjänster 2024'!B28</f>
        <v>FLAVOR-l2. c2 r4. 1000</v>
      </c>
      <c r="C28" s="71">
        <f>'SEK - Safesprings tjänster 2024'!C28</f>
        <v>2</v>
      </c>
      <c r="D28" s="71">
        <f>'SEK - Safesprings tjänster 2024'!D28</f>
        <v>4</v>
      </c>
      <c r="E28" s="72">
        <f>'SEK - Safesprings tjänster 2024'!E28</f>
        <v>1000</v>
      </c>
      <c r="F28" s="392">
        <f t="shared" si="0"/>
        <v>0.17058333333333334</v>
      </c>
      <c r="G28" s="392">
        <f t="shared" si="1"/>
        <v>122.82</v>
      </c>
      <c r="H28" s="23"/>
      <c r="I28" s="75"/>
      <c r="J28" s="23"/>
      <c r="K28" s="393">
        <f t="shared" si="2"/>
        <v>0</v>
      </c>
      <c r="M28" s="10"/>
      <c r="P28" s="53"/>
      <c r="R28" s="53"/>
    </row>
    <row r="29" spans="2:26" s="41" customFormat="1" ht="25" customHeight="1">
      <c r="B29" s="77" t="str">
        <f>'SEK - Safesprings tjänster 2024'!B29</f>
        <v>FLAVOR-l2. c4 r8. 100</v>
      </c>
      <c r="C29" s="78">
        <f>'SEK - Safesprings tjänster 2024'!C29</f>
        <v>4</v>
      </c>
      <c r="D29" s="78">
        <f>'SEK - Safesprings tjänster 2024'!D29</f>
        <v>8</v>
      </c>
      <c r="E29" s="79">
        <f>'SEK - Safesprings tjänster 2024'!E29</f>
        <v>100</v>
      </c>
      <c r="F29" s="394">
        <f t="shared" si="0"/>
        <v>0.10630555555555554</v>
      </c>
      <c r="G29" s="394">
        <f t="shared" si="1"/>
        <v>76.539999999999992</v>
      </c>
      <c r="H29" s="82"/>
      <c r="I29" s="75"/>
      <c r="J29" s="82"/>
      <c r="K29" s="395">
        <f t="shared" si="2"/>
        <v>0</v>
      </c>
      <c r="M29" s="10"/>
      <c r="P29" s="53"/>
      <c r="R29" s="53"/>
    </row>
    <row r="30" spans="2:26" s="41" customFormat="1" ht="25" customHeight="1">
      <c r="B30" s="70" t="str">
        <f>'SEK - Safesprings tjänster 2024'!B30</f>
        <v>FLAVOR-l2. c4 r8. 500</v>
      </c>
      <c r="C30" s="71">
        <f>'SEK - Safesprings tjänster 2024'!C30</f>
        <v>4</v>
      </c>
      <c r="D30" s="71">
        <f>'SEK - Safesprings tjänster 2024'!D30</f>
        <v>8</v>
      </c>
      <c r="E30" s="72">
        <f>'SEK - Safesprings tjänster 2024'!E30</f>
        <v>500</v>
      </c>
      <c r="F30" s="392">
        <f t="shared" si="0"/>
        <v>0.15574999999999997</v>
      </c>
      <c r="G30" s="392">
        <f t="shared" si="1"/>
        <v>112.13999999999999</v>
      </c>
      <c r="H30" s="23"/>
      <c r="I30" s="75"/>
      <c r="J30" s="23"/>
      <c r="K30" s="393">
        <f t="shared" si="2"/>
        <v>0</v>
      </c>
      <c r="M30" s="10"/>
      <c r="P30" s="53"/>
      <c r="R30" s="53"/>
    </row>
    <row r="31" spans="2:26" s="41" customFormat="1" ht="25" customHeight="1">
      <c r="B31" s="77" t="str">
        <f>'SEK - Safesprings tjänster 2024'!B31</f>
        <v>FLAVOR-l2. c4 r8. 1000</v>
      </c>
      <c r="C31" s="78">
        <f>'SEK - Safesprings tjänster 2024'!C31</f>
        <v>4</v>
      </c>
      <c r="D31" s="78">
        <f>'SEK - Safesprings tjänster 2024'!D31</f>
        <v>8</v>
      </c>
      <c r="E31" s="79">
        <f>'SEK - Safesprings tjänster 2024'!E31</f>
        <v>1000</v>
      </c>
      <c r="F31" s="394">
        <f t="shared" si="0"/>
        <v>0.21755555555555553</v>
      </c>
      <c r="G31" s="394">
        <f t="shared" si="1"/>
        <v>156.63999999999999</v>
      </c>
      <c r="H31" s="82"/>
      <c r="I31" s="75"/>
      <c r="J31" s="82"/>
      <c r="K31" s="395">
        <f t="shared" si="2"/>
        <v>0</v>
      </c>
      <c r="M31" s="10"/>
      <c r="P31" s="53"/>
      <c r="R31" s="53"/>
    </row>
    <row r="32" spans="2:26" s="41" customFormat="1" ht="25" customHeight="1">
      <c r="B32" s="70" t="str">
        <f>'SEK - Safesprings tjänster 2024'!B32</f>
        <v>FLAVOR-l2. c8 r16. 100</v>
      </c>
      <c r="C32" s="71">
        <f>'SEK - Safesprings tjänster 2024'!C32</f>
        <v>8</v>
      </c>
      <c r="D32" s="71">
        <f>'SEK - Safesprings tjänster 2024'!D32</f>
        <v>16</v>
      </c>
      <c r="E32" s="72">
        <f>'SEK - Safesprings tjänster 2024'!E32</f>
        <v>100</v>
      </c>
      <c r="F32" s="392">
        <f t="shared" si="0"/>
        <v>0.20024999999999998</v>
      </c>
      <c r="G32" s="392">
        <f t="shared" si="1"/>
        <v>144.17999999999998</v>
      </c>
      <c r="H32" s="23"/>
      <c r="I32" s="75"/>
      <c r="J32" s="23"/>
      <c r="K32" s="393">
        <f t="shared" si="2"/>
        <v>0</v>
      </c>
      <c r="M32" s="10"/>
      <c r="P32" s="53"/>
      <c r="R32" s="53"/>
    </row>
    <row r="33" spans="2:18" s="41" customFormat="1" ht="25" customHeight="1">
      <c r="B33" s="77" t="str">
        <f>'SEK - Safesprings tjänster 2024'!B33</f>
        <v>FLAVOR-l2. c8 r16. 500</v>
      </c>
      <c r="C33" s="78">
        <f>'SEK - Safesprings tjänster 2024'!C33</f>
        <v>8</v>
      </c>
      <c r="D33" s="78">
        <f>'SEK - Safesprings tjänster 2024'!D33</f>
        <v>16</v>
      </c>
      <c r="E33" s="79">
        <f>'SEK - Safesprings tjänster 2024'!E33</f>
        <v>500</v>
      </c>
      <c r="F33" s="394">
        <f t="shared" si="0"/>
        <v>0.24969444444444441</v>
      </c>
      <c r="G33" s="394">
        <f t="shared" si="1"/>
        <v>179.77999999999997</v>
      </c>
      <c r="H33" s="82"/>
      <c r="I33" s="75"/>
      <c r="J33" s="82"/>
      <c r="K33" s="395">
        <f t="shared" si="2"/>
        <v>0</v>
      </c>
      <c r="M33" s="10"/>
      <c r="P33" s="53"/>
      <c r="R33" s="53"/>
    </row>
    <row r="34" spans="2:18" s="41" customFormat="1" ht="25" customHeight="1">
      <c r="B34" s="70" t="str">
        <f>'SEK - Safesprings tjänster 2024'!B34</f>
        <v>FLAVOR-l2. c8 r16. 1000</v>
      </c>
      <c r="C34" s="71">
        <f>'SEK - Safesprings tjänster 2024'!C34</f>
        <v>8</v>
      </c>
      <c r="D34" s="71">
        <f>'SEK - Safesprings tjänster 2024'!D34</f>
        <v>16</v>
      </c>
      <c r="E34" s="72">
        <f>'SEK - Safesprings tjänster 2024'!E34</f>
        <v>1000</v>
      </c>
      <c r="F34" s="392">
        <f t="shared" si="0"/>
        <v>0.31149999999999994</v>
      </c>
      <c r="G34" s="392">
        <f t="shared" si="1"/>
        <v>224.27999999999997</v>
      </c>
      <c r="H34" s="23"/>
      <c r="I34" s="75"/>
      <c r="J34" s="23"/>
      <c r="K34" s="393">
        <f t="shared" si="2"/>
        <v>0</v>
      </c>
      <c r="M34" s="10"/>
      <c r="P34" s="53"/>
      <c r="R34" s="53"/>
    </row>
    <row r="35" spans="2:18" s="41" customFormat="1" ht="25" customHeight="1">
      <c r="B35" s="77" t="str">
        <f>'SEK - Safesprings tjänster 2024'!B35</f>
        <v>FLAVOR-l2. c16 r32. 100</v>
      </c>
      <c r="C35" s="78">
        <f>'SEK - Safesprings tjänster 2024'!C35</f>
        <v>16</v>
      </c>
      <c r="D35" s="78">
        <f>'SEK - Safesprings tjänster 2024'!D35</f>
        <v>32</v>
      </c>
      <c r="E35" s="79">
        <f>'SEK - Safesprings tjänster 2024'!E35</f>
        <v>100</v>
      </c>
      <c r="F35" s="394">
        <f t="shared" si="0"/>
        <v>0.38813888888888876</v>
      </c>
      <c r="G35" s="394">
        <f t="shared" si="1"/>
        <v>279.45999999999992</v>
      </c>
      <c r="H35" s="82"/>
      <c r="I35" s="75"/>
      <c r="J35" s="82"/>
      <c r="K35" s="395">
        <f t="shared" si="2"/>
        <v>0</v>
      </c>
      <c r="M35" s="10"/>
      <c r="P35" s="53"/>
      <c r="R35" s="53"/>
    </row>
    <row r="36" spans="2:18" s="41" customFormat="1" ht="25" customHeight="1">
      <c r="B36" s="70" t="str">
        <f>'SEK - Safesprings tjänster 2024'!B36</f>
        <v>FLAVOR-l2. c16 r32. 500</v>
      </c>
      <c r="C36" s="71">
        <f>'SEK - Safesprings tjänster 2024'!C36</f>
        <v>16</v>
      </c>
      <c r="D36" s="71">
        <f>'SEK - Safesprings tjänster 2024'!D36</f>
        <v>32</v>
      </c>
      <c r="E36" s="72">
        <f>'SEK - Safesprings tjänster 2024'!E36</f>
        <v>500</v>
      </c>
      <c r="F36" s="392">
        <f t="shared" si="0"/>
        <v>0.43758333333333327</v>
      </c>
      <c r="G36" s="392">
        <f t="shared" si="1"/>
        <v>315.05999999999995</v>
      </c>
      <c r="H36" s="23"/>
      <c r="I36" s="75"/>
      <c r="J36" s="23"/>
      <c r="K36" s="393">
        <f t="shared" si="2"/>
        <v>0</v>
      </c>
      <c r="M36" s="10"/>
      <c r="P36" s="53"/>
      <c r="R36" s="53"/>
    </row>
    <row r="37" spans="2:18" s="41" customFormat="1" ht="25" customHeight="1">
      <c r="B37" s="77" t="str">
        <f>'SEK - Safesprings tjänster 2024'!B37</f>
        <v>FLAVOR-l2. c16 r32. 1000</v>
      </c>
      <c r="C37" s="78">
        <f>'SEK - Safesprings tjänster 2024'!C37</f>
        <v>16</v>
      </c>
      <c r="D37" s="78">
        <f>'SEK - Safesprings tjänster 2024'!D37</f>
        <v>32</v>
      </c>
      <c r="E37" s="79">
        <f>'SEK - Safesprings tjänster 2024'!E37</f>
        <v>1000</v>
      </c>
      <c r="F37" s="394">
        <f t="shared" si="0"/>
        <v>0.49938888888888883</v>
      </c>
      <c r="G37" s="394">
        <f t="shared" si="1"/>
        <v>359.55999999999995</v>
      </c>
      <c r="H37" s="82"/>
      <c r="I37" s="75"/>
      <c r="J37" s="82"/>
      <c r="K37" s="395">
        <f t="shared" si="2"/>
        <v>0</v>
      </c>
      <c r="M37" s="10"/>
      <c r="P37" s="53"/>
      <c r="R37" s="53"/>
    </row>
    <row r="38" spans="2:18" s="41" customFormat="1" ht="25" customHeight="1">
      <c r="B38" s="70" t="str">
        <f>'SEK - Safesprings tjänster 2024'!B38</f>
        <v>FLAVOR-l2. c16 r64. 500</v>
      </c>
      <c r="C38" s="71">
        <f>'SEK - Safesprings tjänster 2024'!C38</f>
        <v>16</v>
      </c>
      <c r="D38" s="71">
        <f>'SEK - Safesprings tjänster 2024'!D38</f>
        <v>64</v>
      </c>
      <c r="E38" s="72">
        <f>'SEK - Safesprings tjänster 2024'!E38</f>
        <v>500</v>
      </c>
      <c r="F38" s="392">
        <f t="shared" si="0"/>
        <v>0.65513888888888883</v>
      </c>
      <c r="G38" s="392">
        <f t="shared" si="1"/>
        <v>471.69999999999993</v>
      </c>
      <c r="H38" s="23"/>
      <c r="I38" s="75"/>
      <c r="J38" s="23"/>
      <c r="K38" s="393">
        <f t="shared" si="2"/>
        <v>0</v>
      </c>
      <c r="M38" s="10"/>
      <c r="P38" s="53"/>
      <c r="R38" s="53"/>
    </row>
    <row r="39" spans="2:18" s="41" customFormat="1" ht="25" customHeight="1">
      <c r="B39" s="77" t="str">
        <f>'SEK - Safesprings tjänster 2024'!B39</f>
        <v>FLAVOR-l2. c32 r64. 1000</v>
      </c>
      <c r="C39" s="78">
        <f>'SEK - Safesprings tjänster 2024'!C39</f>
        <v>32</v>
      </c>
      <c r="D39" s="78">
        <f>'SEK - Safesprings tjänster 2024'!D39</f>
        <v>64</v>
      </c>
      <c r="E39" s="79">
        <f>'SEK - Safesprings tjänster 2024'!E39</f>
        <v>1000</v>
      </c>
      <c r="F39" s="394">
        <f t="shared" si="0"/>
        <v>0.87516666666666654</v>
      </c>
      <c r="G39" s="394">
        <f t="shared" si="1"/>
        <v>630.11999999999989</v>
      </c>
      <c r="H39" s="82"/>
      <c r="I39" s="75"/>
      <c r="J39" s="82"/>
      <c r="K39" s="395">
        <f t="shared" si="2"/>
        <v>0</v>
      </c>
      <c r="M39" s="10"/>
      <c r="P39" s="53"/>
      <c r="R39" s="53"/>
    </row>
    <row r="40" spans="2:18" s="84" customFormat="1" ht="25" customHeight="1">
      <c r="B40" s="85" t="s">
        <v>277</v>
      </c>
      <c r="C40" s="86">
        <f t="array" ref="C40">SUM(C26:C39*I26:I39)</f>
        <v>0</v>
      </c>
      <c r="D40" s="86" t="str">
        <f t="array" ref="D40">SUM(D26:D39*I26:I39)&amp;" GB"</f>
        <v>0 GB</v>
      </c>
      <c r="E40" s="396" t="str">
        <f t="array" ref="E40">SUM(E26:E39*I26:I39)&amp;" GB"</f>
        <v>0 GB</v>
      </c>
      <c r="F40" s="86"/>
      <c r="G40" s="86"/>
      <c r="H40" s="86"/>
      <c r="I40" s="86">
        <f>SUM(I26:I39)</f>
        <v>0</v>
      </c>
      <c r="J40" s="86"/>
      <c r="K40" s="397">
        <f>SUM(K26:K39)</f>
        <v>0</v>
      </c>
      <c r="M40" s="10"/>
      <c r="P40" s="89"/>
      <c r="R40" s="89"/>
    </row>
    <row r="41" spans="2:18" s="41" customFormat="1" ht="25" customHeight="1">
      <c r="B41" s="119"/>
      <c r="C41" s="90"/>
      <c r="D41" s="90"/>
      <c r="E41" s="91"/>
      <c r="F41" s="92"/>
      <c r="G41" s="93"/>
      <c r="H41" s="94"/>
      <c r="I41" s="95"/>
      <c r="J41" s="96"/>
      <c r="K41" s="398"/>
      <c r="M41" s="10"/>
      <c r="P41" s="53"/>
      <c r="R41" s="53"/>
    </row>
    <row r="42" spans="2:18" s="41" customFormat="1" ht="25" customHeight="1">
      <c r="B42" s="119"/>
      <c r="C42" s="90"/>
      <c r="D42" s="90"/>
      <c r="E42" s="91"/>
      <c r="F42" s="92"/>
      <c r="G42" s="93"/>
      <c r="H42" s="94"/>
      <c r="I42" s="95"/>
      <c r="J42" s="96"/>
      <c r="K42" s="398"/>
      <c r="M42" s="10"/>
      <c r="P42" s="53"/>
      <c r="R42" s="53"/>
    </row>
    <row r="43" spans="2:18" ht="25" customHeight="1">
      <c r="B43" s="98"/>
      <c r="C43" s="99"/>
      <c r="D43" s="99"/>
      <c r="E43" s="99"/>
      <c r="F43" s="99"/>
      <c r="G43" s="100"/>
      <c r="H43" s="101"/>
      <c r="I43" s="101"/>
      <c r="J43" s="99"/>
      <c r="K43" s="399"/>
      <c r="M43" s="10"/>
      <c r="P43" s="53"/>
      <c r="Q43" s="53"/>
      <c r="R43" s="69"/>
    </row>
    <row r="44" spans="2:18" s="63" customFormat="1" ht="25" customHeight="1">
      <c r="B44" s="56" t="s">
        <v>336</v>
      </c>
      <c r="C44" s="400"/>
      <c r="D44" s="400"/>
      <c r="K44" s="401"/>
      <c r="M44" s="10"/>
    </row>
    <row r="45" spans="2:18" ht="25" customHeight="1">
      <c r="B45" s="161" t="s">
        <v>333</v>
      </c>
      <c r="C45" s="161"/>
      <c r="D45" s="161"/>
      <c r="E45" s="161"/>
      <c r="F45" s="161"/>
      <c r="M45" s="10"/>
    </row>
    <row r="46" spans="2:18" s="63" customFormat="1" ht="25" customHeight="1">
      <c r="B46" s="64" t="s">
        <v>11</v>
      </c>
      <c r="C46" s="65" t="s">
        <v>12</v>
      </c>
      <c r="D46" s="65" t="s">
        <v>334</v>
      </c>
      <c r="E46" s="66" t="s">
        <v>14</v>
      </c>
      <c r="F46" s="66" t="s">
        <v>209</v>
      </c>
      <c r="G46" s="66" t="s">
        <v>335</v>
      </c>
      <c r="H46" s="65"/>
      <c r="I46" s="67" t="s">
        <v>58</v>
      </c>
      <c r="J46" s="65"/>
      <c r="K46" s="391" t="s">
        <v>18</v>
      </c>
      <c r="M46" s="10"/>
      <c r="N46" s="1"/>
      <c r="O46" s="1"/>
      <c r="P46" s="53"/>
      <c r="Q46" s="53"/>
      <c r="R46" s="69"/>
    </row>
    <row r="47" spans="2:18" s="41" customFormat="1" ht="25" customHeight="1">
      <c r="B47" s="70" t="str">
        <f>'SEK - Safesprings tjänster 2024'!B47</f>
        <v>FLAVOR-b2. c1 r2</v>
      </c>
      <c r="C47" s="71">
        <f>'SEK - Safesprings tjänster 2024'!C47</f>
        <v>1</v>
      </c>
      <c r="D47" s="71">
        <f>'SEK - Safesprings tjänster 2024'!D47</f>
        <v>2</v>
      </c>
      <c r="E47" s="112">
        <f>'SEK - Safesprings tjänster 2024'!E47</f>
        <v>0</v>
      </c>
      <c r="F47" s="392">
        <f t="shared" si="0"/>
        <v>2.3486111111111107E-2</v>
      </c>
      <c r="G47" s="392">
        <f t="shared" ref="G47:G56" si="3">C47*IAAS_vcpu_EUR+D47*IAAS_ram_EUR+E47*IAAS_ssd_EUR</f>
        <v>16.909999999999997</v>
      </c>
      <c r="H47" s="23"/>
      <c r="I47" s="75"/>
      <c r="J47" s="23"/>
      <c r="K47" s="393">
        <f t="shared" ref="K47:K56" si="4">ROUNDUP(I47*G47,2)</f>
        <v>0</v>
      </c>
      <c r="M47" s="10"/>
      <c r="N47" s="113"/>
      <c r="O47" s="114"/>
    </row>
    <row r="48" spans="2:18" s="41" customFormat="1" ht="25" customHeight="1">
      <c r="B48" s="77" t="str">
        <f>'SEK - Safesprings tjänster 2024'!B48</f>
        <v>FLAVOR-b2. c1 r4</v>
      </c>
      <c r="C48" s="78">
        <f>'SEK - Safesprings tjänster 2024'!C48</f>
        <v>1</v>
      </c>
      <c r="D48" s="78">
        <f>'SEK - Safesprings tjänster 2024'!D48</f>
        <v>4</v>
      </c>
      <c r="E48" s="115">
        <f>'SEK - Safesprings tjänster 2024'!E48</f>
        <v>0</v>
      </c>
      <c r="F48" s="394">
        <f t="shared" si="0"/>
        <v>3.7083333333333329E-2</v>
      </c>
      <c r="G48" s="394">
        <f t="shared" si="3"/>
        <v>26.699999999999996</v>
      </c>
      <c r="H48" s="82"/>
      <c r="I48" s="75"/>
      <c r="J48" s="82"/>
      <c r="K48" s="395">
        <f t="shared" si="4"/>
        <v>0</v>
      </c>
      <c r="L48" s="116"/>
      <c r="M48" s="10"/>
      <c r="N48" s="113"/>
      <c r="O48" s="114"/>
    </row>
    <row r="49" spans="1:20" s="41" customFormat="1" ht="25" customHeight="1">
      <c r="B49" s="70" t="str">
        <f>'SEK - Safesprings tjänster 2024'!B49</f>
        <v>FLAVOR-b2. c2 r4</v>
      </c>
      <c r="C49" s="71">
        <f>'SEK - Safesprings tjänster 2024'!C49</f>
        <v>2</v>
      </c>
      <c r="D49" s="71">
        <f>'SEK - Safesprings tjänster 2024'!D49</f>
        <v>4</v>
      </c>
      <c r="E49" s="112">
        <f>'SEK - Safesprings tjänster 2024'!E49</f>
        <v>0</v>
      </c>
      <c r="F49" s="392">
        <f t="shared" si="0"/>
        <v>4.6972222222222214E-2</v>
      </c>
      <c r="G49" s="392">
        <f t="shared" si="3"/>
        <v>33.819999999999993</v>
      </c>
      <c r="H49" s="23"/>
      <c r="I49" s="75"/>
      <c r="J49" s="23"/>
      <c r="K49" s="393">
        <f t="shared" si="4"/>
        <v>0</v>
      </c>
      <c r="L49" s="116"/>
      <c r="M49" s="10"/>
      <c r="N49" s="113"/>
      <c r="O49" s="114"/>
    </row>
    <row r="50" spans="1:20" s="41" customFormat="1" ht="25" customHeight="1">
      <c r="B50" s="77" t="str">
        <f>'SEK - Safesprings tjänster 2024'!B50</f>
        <v>FLAVOR-b2. c2 r8</v>
      </c>
      <c r="C50" s="78">
        <f>'SEK - Safesprings tjänster 2024'!C50</f>
        <v>2</v>
      </c>
      <c r="D50" s="78">
        <f>'SEK - Safesprings tjänster 2024'!D50</f>
        <v>8</v>
      </c>
      <c r="E50" s="115">
        <f>'SEK - Safesprings tjänster 2024'!E50</f>
        <v>0</v>
      </c>
      <c r="F50" s="394">
        <f t="shared" si="0"/>
        <v>7.4166666666666659E-2</v>
      </c>
      <c r="G50" s="394">
        <f t="shared" si="3"/>
        <v>53.399999999999991</v>
      </c>
      <c r="H50" s="82"/>
      <c r="I50" s="75"/>
      <c r="J50" s="82"/>
      <c r="K50" s="395">
        <f t="shared" si="4"/>
        <v>0</v>
      </c>
      <c r="L50" s="116"/>
      <c r="M50" s="10"/>
      <c r="N50" s="113"/>
      <c r="O50" s="117"/>
    </row>
    <row r="51" spans="1:20" s="41" customFormat="1" ht="25" customHeight="1">
      <c r="B51" s="70" t="str">
        <f>'SEK - Safesprings tjänster 2024'!B51</f>
        <v>FLAVOR-b2 .c4 r8</v>
      </c>
      <c r="C51" s="71">
        <f>'SEK - Safesprings tjänster 2024'!C51</f>
        <v>4</v>
      </c>
      <c r="D51" s="71">
        <f>'SEK - Safesprings tjänster 2024'!D51</f>
        <v>8</v>
      </c>
      <c r="E51" s="112">
        <f>'SEK - Safesprings tjänster 2024'!E51</f>
        <v>0</v>
      </c>
      <c r="F51" s="392">
        <f t="shared" si="0"/>
        <v>9.3944444444444428E-2</v>
      </c>
      <c r="G51" s="392">
        <f t="shared" si="3"/>
        <v>67.639999999999986</v>
      </c>
      <c r="H51" s="23"/>
      <c r="I51" s="75"/>
      <c r="J51" s="23"/>
      <c r="K51" s="393">
        <f t="shared" si="4"/>
        <v>0</v>
      </c>
      <c r="L51" s="116"/>
      <c r="M51" s="10"/>
      <c r="N51" s="113"/>
    </row>
    <row r="52" spans="1:20" s="41" customFormat="1" ht="25" customHeight="1">
      <c r="B52" s="77" t="str">
        <f>'SEK - Safesprings tjänster 2024'!B52</f>
        <v>FLAVOR-b2. c4 r16</v>
      </c>
      <c r="C52" s="78">
        <f>'SEK - Safesprings tjänster 2024'!C52</f>
        <v>4</v>
      </c>
      <c r="D52" s="78">
        <f>'SEK - Safesprings tjänster 2024'!D52</f>
        <v>16</v>
      </c>
      <c r="E52" s="115">
        <f>'SEK - Safesprings tjänster 2024'!E52</f>
        <v>0</v>
      </c>
      <c r="F52" s="394">
        <f t="shared" si="0"/>
        <v>0.14833333333333332</v>
      </c>
      <c r="G52" s="394">
        <f t="shared" si="3"/>
        <v>106.79999999999998</v>
      </c>
      <c r="H52" s="82"/>
      <c r="I52" s="75"/>
      <c r="J52" s="82"/>
      <c r="K52" s="395">
        <f t="shared" si="4"/>
        <v>0</v>
      </c>
      <c r="L52" s="116"/>
      <c r="M52" s="10"/>
    </row>
    <row r="53" spans="1:20" s="41" customFormat="1" ht="25" customHeight="1">
      <c r="B53" s="70" t="str">
        <f>'SEK - Safesprings tjänster 2024'!B53</f>
        <v>FLAVOR-b2. c8 r16</v>
      </c>
      <c r="C53" s="71">
        <f>'SEK - Safesprings tjänster 2024'!C53</f>
        <v>8</v>
      </c>
      <c r="D53" s="71">
        <f>'SEK - Safesprings tjänster 2024'!D53</f>
        <v>16</v>
      </c>
      <c r="E53" s="112">
        <f>'SEK - Safesprings tjänster 2024'!E53</f>
        <v>0</v>
      </c>
      <c r="F53" s="392">
        <f t="shared" si="0"/>
        <v>0.18788888888888886</v>
      </c>
      <c r="G53" s="392">
        <f t="shared" si="3"/>
        <v>135.27999999999997</v>
      </c>
      <c r="H53" s="23"/>
      <c r="I53" s="75"/>
      <c r="J53" s="23"/>
      <c r="K53" s="393">
        <f t="shared" si="4"/>
        <v>0</v>
      </c>
      <c r="L53" s="116"/>
      <c r="M53" s="10"/>
    </row>
    <row r="54" spans="1:20" s="41" customFormat="1" ht="25" customHeight="1">
      <c r="B54" s="77" t="str">
        <f>'SEK - Safesprings tjänster 2024'!B54</f>
        <v>FLAVOR-b2. c8 r32</v>
      </c>
      <c r="C54" s="78">
        <f>'SEK - Safesprings tjänster 2024'!C54</f>
        <v>8</v>
      </c>
      <c r="D54" s="78">
        <f>'SEK - Safesprings tjänster 2024'!D54</f>
        <v>32</v>
      </c>
      <c r="E54" s="115">
        <f>'SEK - Safesprings tjänster 2024'!E54</f>
        <v>0</v>
      </c>
      <c r="F54" s="394">
        <f t="shared" si="0"/>
        <v>0.29666666666666663</v>
      </c>
      <c r="G54" s="394">
        <f t="shared" si="3"/>
        <v>213.59999999999997</v>
      </c>
      <c r="H54" s="82"/>
      <c r="I54" s="75"/>
      <c r="J54" s="82"/>
      <c r="K54" s="395">
        <f t="shared" si="4"/>
        <v>0</v>
      </c>
      <c r="L54" s="116"/>
      <c r="M54" s="10"/>
    </row>
    <row r="55" spans="1:20" s="41" customFormat="1" ht="25" customHeight="1">
      <c r="B55" s="70" t="str">
        <f>'SEK - Safesprings tjänster 2024'!B55</f>
        <v>FLAVOR-b2. c16 r32</v>
      </c>
      <c r="C55" s="71">
        <f>'SEK - Safesprings tjänster 2024'!C55</f>
        <v>16</v>
      </c>
      <c r="D55" s="71">
        <f>'SEK - Safesprings tjänster 2024'!D55</f>
        <v>32</v>
      </c>
      <c r="E55" s="112">
        <f>'SEK - Safesprings tjänster 2024'!E55</f>
        <v>0</v>
      </c>
      <c r="F55" s="392">
        <f t="shared" si="0"/>
        <v>0.37577777777777771</v>
      </c>
      <c r="G55" s="392">
        <f t="shared" si="3"/>
        <v>270.55999999999995</v>
      </c>
      <c r="H55" s="23"/>
      <c r="I55" s="75"/>
      <c r="J55" s="23"/>
      <c r="K55" s="393">
        <f t="shared" si="4"/>
        <v>0</v>
      </c>
      <c r="L55" s="116"/>
      <c r="M55" s="10"/>
      <c r="P55" s="53"/>
      <c r="Q55" s="53"/>
      <c r="R55" s="53"/>
    </row>
    <row r="56" spans="1:20" s="41" customFormat="1" ht="25" customHeight="1">
      <c r="B56" s="77" t="str">
        <f>'SEK - Safesprings tjänster 2024'!B56</f>
        <v>FLAVOR-b2. c16 r64</v>
      </c>
      <c r="C56" s="78">
        <f>'SEK - Safesprings tjänster 2024'!C56</f>
        <v>16</v>
      </c>
      <c r="D56" s="78">
        <f>'SEK - Safesprings tjänster 2024'!D56</f>
        <v>64</v>
      </c>
      <c r="E56" s="115">
        <f>'SEK - Safesprings tjänster 2024'!E56</f>
        <v>0</v>
      </c>
      <c r="F56" s="394">
        <f t="shared" si="0"/>
        <v>0.59333333333333327</v>
      </c>
      <c r="G56" s="394">
        <f t="shared" si="3"/>
        <v>427.19999999999993</v>
      </c>
      <c r="H56" s="82"/>
      <c r="I56" s="75"/>
      <c r="J56" s="82"/>
      <c r="K56" s="395">
        <f t="shared" si="4"/>
        <v>0</v>
      </c>
      <c r="L56" s="116"/>
      <c r="M56" s="10"/>
      <c r="P56" s="53"/>
      <c r="Q56" s="53"/>
      <c r="R56" s="53"/>
    </row>
    <row r="57" spans="1:20" s="84" customFormat="1" ht="25" customHeight="1">
      <c r="B57" s="85" t="s">
        <v>277</v>
      </c>
      <c r="C57" s="86">
        <f t="array" ref="C57">SUM(b2_list_vCPU*b2_list_Antal_instanser)</f>
        <v>0</v>
      </c>
      <c r="D57" s="86">
        <f t="array" ref="D57">SUM(b2_list_ram*b2_list_vCPU)</f>
        <v>0</v>
      </c>
      <c r="E57" s="118" t="s">
        <v>47</v>
      </c>
      <c r="F57" s="86"/>
      <c r="G57" s="86"/>
      <c r="H57" s="86"/>
      <c r="I57" s="86">
        <f>SUM(I47:I56)</f>
        <v>0</v>
      </c>
      <c r="J57" s="86"/>
      <c r="K57" s="402">
        <f>SUM(K47:K56)</f>
        <v>0</v>
      </c>
      <c r="M57" s="10"/>
      <c r="P57" s="89"/>
      <c r="R57" s="89"/>
    </row>
    <row r="58" spans="1:20" ht="25" customHeight="1">
      <c r="A58" s="41"/>
      <c r="B58" s="119"/>
      <c r="C58" s="120"/>
      <c r="D58" s="120"/>
      <c r="E58" s="120"/>
      <c r="F58" s="120"/>
      <c r="G58" s="93"/>
      <c r="H58" s="94"/>
      <c r="I58" s="121"/>
      <c r="J58" s="96"/>
      <c r="K58" s="398"/>
      <c r="M58" s="10"/>
      <c r="P58" s="53"/>
      <c r="Q58" s="53"/>
      <c r="R58" s="69"/>
    </row>
    <row r="59" spans="1:20" s="122" customFormat="1" ht="25" hidden="1" customHeight="1">
      <c r="B59" s="56" t="s">
        <v>48</v>
      </c>
      <c r="C59" s="58"/>
      <c r="D59" s="58"/>
      <c r="E59" s="58"/>
      <c r="F59" s="58"/>
      <c r="G59" s="58"/>
      <c r="H59" s="58"/>
      <c r="K59" s="403"/>
      <c r="L59" s="124"/>
      <c r="M59" s="10"/>
      <c r="R59" s="125"/>
      <c r="S59" s="125"/>
      <c r="T59" s="126"/>
    </row>
    <row r="60" spans="1:20" ht="25" hidden="1" customHeight="1">
      <c r="B60" s="537" t="s">
        <v>337</v>
      </c>
      <c r="C60" s="537"/>
      <c r="D60" s="537"/>
      <c r="E60" s="537"/>
      <c r="M60" s="10"/>
    </row>
    <row r="61" spans="1:20" s="127" customFormat="1" ht="25" hidden="1" customHeight="1">
      <c r="B61" s="64" t="s">
        <v>11</v>
      </c>
      <c r="C61" s="65" t="s">
        <v>50</v>
      </c>
      <c r="D61" s="65" t="s">
        <v>35</v>
      </c>
      <c r="E61" s="128" t="s">
        <v>51</v>
      </c>
      <c r="F61" s="108" t="s">
        <v>52</v>
      </c>
      <c r="G61" s="108" t="s">
        <v>15</v>
      </c>
      <c r="H61" s="66" t="s">
        <v>16</v>
      </c>
      <c r="I61" s="67" t="s">
        <v>17</v>
      </c>
      <c r="J61" s="65"/>
      <c r="K61" s="391" t="s">
        <v>18</v>
      </c>
      <c r="L61" s="129"/>
      <c r="M61" s="10"/>
      <c r="Q61" s="130"/>
      <c r="R61" s="130"/>
      <c r="S61" s="131"/>
    </row>
    <row r="62" spans="1:20" s="41" customFormat="1" ht="25" hidden="1" customHeight="1">
      <c r="B62" s="70" t="s">
        <v>53</v>
      </c>
      <c r="C62" s="71">
        <v>4</v>
      </c>
      <c r="D62" s="71">
        <v>16</v>
      </c>
      <c r="E62" s="72">
        <v>250</v>
      </c>
      <c r="F62" s="132">
        <v>1</v>
      </c>
      <c r="G62" s="133">
        <f t="shared" ref="G62:G65" si="5">H62/720</f>
        <v>9.6527777777777786</v>
      </c>
      <c r="H62" s="74">
        <f t="shared" ref="H62:H65" si="6">C62*IAAS_vcpu_SEK+D62*IAAS_ram_SEK+E62*IAAS_nvme_SEK+F62*IAAS_gpu_SEK</f>
        <v>6950</v>
      </c>
      <c r="I62" s="75"/>
      <c r="J62" s="134"/>
      <c r="K62" s="393">
        <f t="shared" ref="K62:K65" si="7">ROUNDUP(I62*H62,2)</f>
        <v>0</v>
      </c>
      <c r="M62" s="10"/>
      <c r="P62" s="53"/>
      <c r="R62" s="53"/>
    </row>
    <row r="63" spans="1:20" s="41" customFormat="1" ht="25" hidden="1" customHeight="1">
      <c r="B63" s="77" t="s">
        <v>54</v>
      </c>
      <c r="C63" s="78">
        <v>8</v>
      </c>
      <c r="D63" s="78">
        <v>32</v>
      </c>
      <c r="E63" s="79">
        <v>500</v>
      </c>
      <c r="F63" s="135">
        <v>2</v>
      </c>
      <c r="G63" s="136">
        <f t="shared" si="5"/>
        <v>19.305555555555557</v>
      </c>
      <c r="H63" s="81">
        <f t="shared" si="6"/>
        <v>13900</v>
      </c>
      <c r="I63" s="75"/>
      <c r="J63" s="40"/>
      <c r="K63" s="395">
        <f t="shared" si="7"/>
        <v>0</v>
      </c>
      <c r="M63" s="10"/>
      <c r="P63" s="53"/>
      <c r="R63" s="53"/>
    </row>
    <row r="64" spans="1:20" s="41" customFormat="1" ht="25" hidden="1" customHeight="1">
      <c r="B64" s="70" t="s">
        <v>55</v>
      </c>
      <c r="C64" s="71">
        <v>16</v>
      </c>
      <c r="D64" s="71">
        <v>64</v>
      </c>
      <c r="E64" s="72">
        <v>1000</v>
      </c>
      <c r="F64" s="132">
        <v>4</v>
      </c>
      <c r="G64" s="133">
        <f t="shared" si="5"/>
        <v>38.611111111111114</v>
      </c>
      <c r="H64" s="74">
        <f t="shared" si="6"/>
        <v>27800</v>
      </c>
      <c r="I64" s="75"/>
      <c r="J64" s="134"/>
      <c r="K64" s="393">
        <f t="shared" si="7"/>
        <v>0</v>
      </c>
      <c r="M64" s="10"/>
      <c r="P64" s="53"/>
      <c r="R64" s="53"/>
    </row>
    <row r="65" spans="2:20" s="41" customFormat="1" ht="25" hidden="1" customHeight="1">
      <c r="B65" s="77" t="s">
        <v>56</v>
      </c>
      <c r="C65" s="78">
        <v>32</v>
      </c>
      <c r="D65" s="78">
        <v>128</v>
      </c>
      <c r="E65" s="79">
        <v>1000</v>
      </c>
      <c r="F65" s="135">
        <v>6</v>
      </c>
      <c r="G65" s="136">
        <f t="shared" si="5"/>
        <v>60.555555555555557</v>
      </c>
      <c r="H65" s="81">
        <f t="shared" si="6"/>
        <v>43600</v>
      </c>
      <c r="I65" s="75"/>
      <c r="J65" s="40"/>
      <c r="K65" s="395">
        <f t="shared" si="7"/>
        <v>0</v>
      </c>
      <c r="M65" s="10"/>
      <c r="P65" s="53"/>
      <c r="R65" s="53"/>
    </row>
    <row r="66" spans="2:20" s="84" customFormat="1" ht="25" hidden="1" customHeight="1">
      <c r="B66" s="85" t="s">
        <v>33</v>
      </c>
      <c r="C66" s="86" t="str">
        <f t="array" ref="C66">SUM(I62:I65*C62:C65)&amp;" st"</f>
        <v>0 st</v>
      </c>
      <c r="D66" s="86" t="str">
        <f t="array" ref="D66">SUM(I62:I65*D62:D65)&amp;" GB"</f>
        <v>0 GB</v>
      </c>
      <c r="E66" s="87" t="str">
        <f t="array" ref="E66">SUM(I62:I65*E62:E65)&amp;" GB"</f>
        <v>0 GB</v>
      </c>
      <c r="F66" s="87" t="str">
        <f t="array" ref="F66">SUM(I62:I65*F62:F65)&amp;" st"</f>
        <v>0 st</v>
      </c>
      <c r="G66" s="86"/>
      <c r="H66" s="86"/>
      <c r="I66" s="86" t="str">
        <f>SUM(I62:I65)&amp;" st"</f>
        <v>0 st</v>
      </c>
      <c r="J66" s="86"/>
      <c r="K66" s="402">
        <f>SUM(K62:K65)</f>
        <v>0</v>
      </c>
      <c r="M66" s="10"/>
      <c r="P66" s="89"/>
      <c r="R66" s="89"/>
    </row>
    <row r="67" spans="2:20" s="41" customFormat="1" ht="25" hidden="1" customHeight="1">
      <c r="B67" s="119"/>
      <c r="C67" s="137"/>
      <c r="D67" s="137"/>
      <c r="E67" s="120"/>
      <c r="F67" s="137"/>
      <c r="G67" s="137"/>
      <c r="H67" s="54"/>
      <c r="I67" s="54"/>
      <c r="J67" s="54"/>
      <c r="K67" s="404"/>
      <c r="M67" s="10"/>
      <c r="P67" s="53"/>
      <c r="R67" s="53"/>
    </row>
    <row r="68" spans="2:20" s="41" customFormat="1" ht="25" hidden="1" customHeight="1">
      <c r="B68" s="119"/>
      <c r="C68" s="137"/>
      <c r="D68" s="137"/>
      <c r="E68" s="120"/>
      <c r="F68" s="137"/>
      <c r="G68" s="137"/>
      <c r="H68" s="54"/>
      <c r="I68" s="54"/>
      <c r="J68" s="54"/>
      <c r="K68" s="404"/>
      <c r="M68" s="10"/>
      <c r="P68" s="53"/>
      <c r="R68" s="53"/>
    </row>
    <row r="69" spans="2:20" s="55" customFormat="1" ht="25" hidden="1" customHeight="1">
      <c r="B69" s="56" t="s">
        <v>57</v>
      </c>
      <c r="C69" s="139"/>
      <c r="D69" s="139"/>
      <c r="E69" s="139"/>
      <c r="F69" s="139"/>
      <c r="G69" s="139"/>
      <c r="H69" s="54"/>
      <c r="I69" s="54"/>
      <c r="J69" s="54"/>
      <c r="K69" s="404"/>
      <c r="M69" s="10"/>
      <c r="N69" s="54"/>
      <c r="O69" s="54"/>
      <c r="P69" s="61"/>
      <c r="Q69" s="54"/>
      <c r="R69" s="62"/>
    </row>
    <row r="70" spans="2:20" ht="25" hidden="1" customHeight="1">
      <c r="B70" s="537" t="s">
        <v>337</v>
      </c>
      <c r="C70" s="537"/>
      <c r="D70" s="537"/>
      <c r="E70" s="537"/>
      <c r="M70" s="10"/>
    </row>
    <row r="71" spans="2:20" s="127" customFormat="1" ht="25" hidden="1" customHeight="1">
      <c r="B71" s="64" t="s">
        <v>11</v>
      </c>
      <c r="C71" s="65" t="s">
        <v>50</v>
      </c>
      <c r="D71" s="65" t="s">
        <v>35</v>
      </c>
      <c r="E71" s="108" t="s">
        <v>51</v>
      </c>
      <c r="F71" s="108" t="s">
        <v>15</v>
      </c>
      <c r="G71" s="66" t="s">
        <v>16</v>
      </c>
      <c r="H71" s="65"/>
      <c r="I71" s="67" t="s">
        <v>58</v>
      </c>
      <c r="J71" s="65"/>
      <c r="K71" s="391" t="s">
        <v>18</v>
      </c>
      <c r="L71" s="129"/>
      <c r="M71" s="10"/>
      <c r="Q71" s="130"/>
      <c r="R71" s="130"/>
      <c r="S71" s="131"/>
    </row>
    <row r="72" spans="2:20" s="41" customFormat="1" ht="25" hidden="1" customHeight="1">
      <c r="B72" s="140" t="s">
        <v>59</v>
      </c>
      <c r="C72" s="141">
        <v>16</v>
      </c>
      <c r="D72" s="141">
        <v>128</v>
      </c>
      <c r="E72" s="142">
        <v>3800</v>
      </c>
      <c r="F72" s="143">
        <f t="shared" ref="F72:F83" si="8">G72/720</f>
        <v>9.5</v>
      </c>
      <c r="G72" s="144">
        <f>INSTANCE_p1.2xlarge.16d_SEK</f>
        <v>6840</v>
      </c>
      <c r="H72" s="134"/>
      <c r="I72" s="75"/>
      <c r="J72" s="134"/>
      <c r="K72" s="393">
        <f t="shared" ref="K72:K74" si="9">ROUNDUP(I72*G72,2)</f>
        <v>0</v>
      </c>
      <c r="L72" s="54"/>
      <c r="M72" s="10"/>
    </row>
    <row r="73" spans="2:20" s="41" customFormat="1" ht="25" hidden="1" customHeight="1">
      <c r="B73" s="145" t="s">
        <v>60</v>
      </c>
      <c r="C73" s="146">
        <v>32</v>
      </c>
      <c r="D73" s="146">
        <v>256</v>
      </c>
      <c r="E73" s="147">
        <v>3800</v>
      </c>
      <c r="F73" s="148">
        <f t="shared" si="8"/>
        <v>19</v>
      </c>
      <c r="G73" s="149">
        <f>INSTANCE_p1.4xlarge.16d_SEK</f>
        <v>13680</v>
      </c>
      <c r="H73" s="40"/>
      <c r="I73" s="75"/>
      <c r="J73" s="40"/>
      <c r="K73" s="395">
        <f t="shared" si="9"/>
        <v>0</v>
      </c>
      <c r="L73" s="54"/>
      <c r="M73" s="10"/>
      <c r="S73" s="53"/>
    </row>
    <row r="74" spans="2:20" s="150" customFormat="1" ht="25" hidden="1" customHeight="1">
      <c r="B74" s="151" t="s">
        <v>61</v>
      </c>
      <c r="C74" s="152">
        <v>64</v>
      </c>
      <c r="D74" s="152">
        <v>512</v>
      </c>
      <c r="E74" s="153">
        <v>7600</v>
      </c>
      <c r="F74" s="154">
        <f t="shared" si="8"/>
        <v>38</v>
      </c>
      <c r="G74" s="144">
        <f>INSTANCE_p1.8xlarge.32d_SEK</f>
        <v>27360</v>
      </c>
      <c r="H74" s="134"/>
      <c r="I74" s="75"/>
      <c r="J74" s="134"/>
      <c r="K74" s="393">
        <f t="shared" si="9"/>
        <v>0</v>
      </c>
      <c r="L74" s="155"/>
      <c r="M74" s="10"/>
    </row>
    <row r="75" spans="2:20" s="84" customFormat="1" ht="25" hidden="1" customHeight="1">
      <c r="B75" s="85" t="s">
        <v>33</v>
      </c>
      <c r="C75" s="86" t="str">
        <f t="array" ref="C75">SUM(I72:I74*C72:C74)&amp;" st"</f>
        <v>0 st</v>
      </c>
      <c r="D75" s="86" t="str">
        <f t="array" ref="D75">SUM(I72:I74*D72:D74)&amp;" GB"</f>
        <v>0 GB</v>
      </c>
      <c r="E75" s="87" t="str">
        <f t="array" ref="E75">SUM(I72:I74*E72:E74)&amp;" GB"</f>
        <v>0 GB</v>
      </c>
      <c r="F75" s="86"/>
      <c r="G75" s="86"/>
      <c r="H75" s="86"/>
      <c r="I75" s="86" t="str">
        <f>SUM(I72:I74)&amp;" st"</f>
        <v>0 st</v>
      </c>
      <c r="J75" s="86"/>
      <c r="K75" s="402">
        <f>SUM(K72:K74)</f>
        <v>0</v>
      </c>
      <c r="M75" s="10"/>
      <c r="P75" s="89"/>
      <c r="R75" s="89"/>
    </row>
    <row r="76" spans="2:20" ht="25" customHeight="1">
      <c r="B76" s="156"/>
      <c r="C76" s="157"/>
      <c r="D76" s="157"/>
      <c r="E76" s="157"/>
      <c r="F76" s="157"/>
      <c r="G76" s="157"/>
      <c r="H76" s="150"/>
      <c r="I76" s="95"/>
      <c r="J76" s="95"/>
      <c r="K76" s="405"/>
      <c r="L76" s="121"/>
      <c r="M76" s="10"/>
    </row>
    <row r="77" spans="2:20" s="41" customFormat="1" ht="25" customHeight="1">
      <c r="B77" s="159"/>
      <c r="C77" s="137"/>
      <c r="D77" s="137"/>
      <c r="E77" s="137"/>
      <c r="F77" s="137"/>
      <c r="G77" s="137"/>
      <c r="H77" s="54"/>
      <c r="I77" s="54"/>
      <c r="J77" s="54"/>
      <c r="K77" s="404"/>
      <c r="L77" s="160"/>
      <c r="M77" s="10"/>
      <c r="Q77" s="53"/>
      <c r="S77" s="53"/>
    </row>
    <row r="78" spans="2:20" ht="25" customHeight="1">
      <c r="B78" s="56" t="s">
        <v>338</v>
      </c>
      <c r="C78" s="139"/>
      <c r="D78" s="139"/>
      <c r="E78" s="139"/>
      <c r="F78" s="139"/>
      <c r="G78" s="139"/>
      <c r="H78" s="54"/>
      <c r="I78" s="54"/>
      <c r="J78" s="54"/>
      <c r="K78" s="404"/>
      <c r="L78" s="160"/>
      <c r="M78" s="10"/>
      <c r="N78" s="41"/>
      <c r="O78" s="41"/>
      <c r="P78" s="41"/>
      <c r="Q78" s="41"/>
      <c r="R78" s="53"/>
      <c r="S78" s="41"/>
      <c r="T78" s="69"/>
    </row>
    <row r="79" spans="2:20" ht="25" customHeight="1">
      <c r="B79" s="161" t="s">
        <v>339</v>
      </c>
      <c r="M79" s="10"/>
    </row>
    <row r="80" spans="2:20" s="162" customFormat="1" ht="25" customHeight="1">
      <c r="B80" s="64" t="s">
        <v>11</v>
      </c>
      <c r="C80" s="163" t="s">
        <v>215</v>
      </c>
      <c r="D80" s="163"/>
      <c r="E80" s="163"/>
      <c r="F80" s="107" t="s">
        <v>209</v>
      </c>
      <c r="G80" s="66" t="s">
        <v>335</v>
      </c>
      <c r="H80" s="163"/>
      <c r="I80" s="164" t="s">
        <v>340</v>
      </c>
      <c r="J80" s="163"/>
      <c r="K80" s="406" t="s">
        <v>66</v>
      </c>
      <c r="L80" s="111"/>
      <c r="M80" s="10"/>
      <c r="N80" s="111"/>
      <c r="R80" s="166"/>
      <c r="S80" s="166"/>
      <c r="T80" s="167"/>
    </row>
    <row r="81" spans="2:20" s="41" customFormat="1" ht="25" customHeight="1">
      <c r="B81" s="140" t="s">
        <v>67</v>
      </c>
      <c r="C81" s="168" t="s">
        <v>68</v>
      </c>
      <c r="D81" s="169"/>
      <c r="E81" s="169"/>
      <c r="F81" s="407">
        <f t="shared" si="8"/>
        <v>1.4833333333333332E-4</v>
      </c>
      <c r="G81" s="408">
        <f>VOLUME_large_EUR</f>
        <v>0.10679999999999999</v>
      </c>
      <c r="H81" s="171"/>
      <c r="I81" s="172"/>
      <c r="J81" s="173"/>
      <c r="K81" s="409">
        <f t="shared" ref="K81:K83" si="10">ROUNDUP(I81*G81,2)</f>
        <v>0</v>
      </c>
      <c r="L81" s="54"/>
      <c r="M81" s="10"/>
    </row>
    <row r="82" spans="2:20" s="41" customFormat="1" ht="25" customHeight="1">
      <c r="B82" s="145" t="s">
        <v>69</v>
      </c>
      <c r="C82" s="41" t="s">
        <v>70</v>
      </c>
      <c r="D82" s="150"/>
      <c r="E82" s="150"/>
      <c r="F82" s="410">
        <f t="shared" si="8"/>
        <v>4.4500000000000003E-4</v>
      </c>
      <c r="G82" s="411">
        <f>VOLUME_fast_EUR</f>
        <v>0.32040000000000002</v>
      </c>
      <c r="H82" s="176"/>
      <c r="I82" s="177"/>
      <c r="J82" s="178"/>
      <c r="K82" s="412">
        <f t="shared" si="10"/>
        <v>0</v>
      </c>
      <c r="L82" s="54"/>
      <c r="M82" s="10"/>
      <c r="T82" s="53"/>
    </row>
    <row r="83" spans="2:20" s="41" customFormat="1" ht="25" customHeight="1">
      <c r="B83" s="140" t="s">
        <v>71</v>
      </c>
      <c r="C83" s="168" t="s">
        <v>72</v>
      </c>
      <c r="D83" s="169"/>
      <c r="E83" s="169"/>
      <c r="F83" s="407">
        <f t="shared" si="8"/>
        <v>1.4833333333333332E-4</v>
      </c>
      <c r="G83" s="408">
        <f>VOLUME_large_EUR</f>
        <v>0.10679999999999999</v>
      </c>
      <c r="H83" s="180"/>
      <c r="I83" s="172"/>
      <c r="J83" s="173"/>
      <c r="K83" s="409">
        <f t="shared" si="10"/>
        <v>0</v>
      </c>
      <c r="L83" s="54"/>
      <c r="M83" s="10"/>
    </row>
    <row r="84" spans="2:20" s="84" customFormat="1" ht="25" customHeight="1">
      <c r="B84" s="85" t="s">
        <v>277</v>
      </c>
      <c r="C84" s="86"/>
      <c r="D84" s="86"/>
      <c r="E84" s="86"/>
      <c r="F84" s="86"/>
      <c r="G84" s="86"/>
      <c r="H84" s="86"/>
      <c r="I84" s="86" t="str">
        <f>SUM(I81:I83)&amp;" GB"</f>
        <v>0 GB</v>
      </c>
      <c r="J84" s="86"/>
      <c r="K84" s="402">
        <f>SUM(K81:K83)</f>
        <v>0</v>
      </c>
      <c r="M84" s="10"/>
      <c r="P84" s="89"/>
      <c r="R84" s="89"/>
    </row>
    <row r="85" spans="2:20" ht="25" customHeight="1">
      <c r="B85" s="156"/>
      <c r="C85" s="157"/>
      <c r="D85" s="157"/>
      <c r="E85" s="157"/>
      <c r="F85" s="157"/>
      <c r="G85" s="157"/>
      <c r="H85" s="150"/>
      <c r="I85" s="181"/>
      <c r="J85" s="181"/>
      <c r="K85" s="413"/>
      <c r="L85" s="183"/>
      <c r="M85" s="10"/>
    </row>
    <row r="86" spans="2:20" s="20" customFormat="1" ht="25" customHeight="1">
      <c r="B86" s="156"/>
      <c r="C86" s="157"/>
      <c r="D86" s="157"/>
      <c r="E86" s="157"/>
      <c r="F86" s="157"/>
      <c r="G86" s="157"/>
      <c r="H86" s="181"/>
      <c r="I86" s="181"/>
      <c r="J86" s="181"/>
      <c r="K86" s="413"/>
      <c r="L86" s="185"/>
      <c r="M86" s="10"/>
    </row>
    <row r="87" spans="2:20" s="20" customFormat="1" ht="25" customHeight="1">
      <c r="B87" s="534" t="s">
        <v>217</v>
      </c>
      <c r="C87" s="534"/>
      <c r="D87" s="534"/>
      <c r="E87" s="534"/>
      <c r="F87" s="534"/>
      <c r="G87" s="534"/>
      <c r="H87" s="37"/>
      <c r="J87" s="40"/>
      <c r="K87" s="388"/>
      <c r="M87" s="10"/>
    </row>
    <row r="88" spans="2:20" s="20" customFormat="1" ht="25" customHeight="1">
      <c r="B88" s="534"/>
      <c r="C88" s="534"/>
      <c r="D88" s="534"/>
      <c r="E88" s="534"/>
      <c r="F88" s="534"/>
      <c r="G88" s="534"/>
      <c r="H88" s="37"/>
      <c r="J88" s="40"/>
      <c r="K88" s="388"/>
      <c r="M88" s="10"/>
    </row>
    <row r="89" spans="2:20" s="20" customFormat="1" ht="25" customHeight="1">
      <c r="B89" s="534"/>
      <c r="C89" s="534"/>
      <c r="D89" s="534"/>
      <c r="E89" s="534"/>
      <c r="F89" s="534"/>
      <c r="G89" s="534"/>
      <c r="H89" s="37"/>
      <c r="J89" s="40"/>
      <c r="K89" s="388"/>
      <c r="M89" s="10"/>
    </row>
    <row r="90" spans="2:20" s="20" customFormat="1" ht="25" customHeight="1">
      <c r="B90" s="42" t="s">
        <v>341</v>
      </c>
      <c r="C90" s="42"/>
      <c r="D90" s="42"/>
      <c r="E90" s="42"/>
      <c r="F90" s="42"/>
      <c r="H90" s="37"/>
      <c r="J90" s="40"/>
      <c r="K90" s="388"/>
      <c r="M90" s="10"/>
    </row>
    <row r="91" spans="2:20" s="186" customFormat="1" ht="25" customHeight="1">
      <c r="B91" s="44" t="s">
        <v>331</v>
      </c>
      <c r="C91" s="44"/>
      <c r="D91" s="44"/>
      <c r="E91" s="44"/>
      <c r="F91" s="44"/>
      <c r="G91" s="187"/>
      <c r="H91" s="188"/>
      <c r="I91" s="187"/>
      <c r="J91" s="189"/>
      <c r="K91" s="414"/>
      <c r="L91" s="187"/>
      <c r="M91" s="10"/>
    </row>
    <row r="92" spans="2:20" s="20" customFormat="1" ht="25" customHeight="1">
      <c r="B92" s="380" t="s">
        <v>332</v>
      </c>
      <c r="C92" s="51"/>
      <c r="D92" s="51"/>
      <c r="E92" s="52"/>
      <c r="F92" s="52"/>
      <c r="G92" s="45"/>
      <c r="H92" s="46"/>
      <c r="I92" s="45"/>
      <c r="J92" s="47"/>
      <c r="K92" s="389"/>
      <c r="L92" s="191"/>
      <c r="M92" s="10"/>
      <c r="O92" s="41"/>
      <c r="P92" s="41"/>
    </row>
    <row r="93" spans="2:20" s="41" customFormat="1" ht="25" customHeight="1">
      <c r="B93" s="159"/>
      <c r="C93" s="137"/>
      <c r="D93" s="137"/>
      <c r="E93" s="137"/>
      <c r="F93" s="137"/>
      <c r="G93" s="137"/>
      <c r="H93" s="54"/>
      <c r="I93" s="54"/>
      <c r="J93" s="54"/>
      <c r="K93" s="404"/>
      <c r="L93" s="160"/>
      <c r="M93" s="10"/>
      <c r="R93" s="53"/>
      <c r="T93" s="53"/>
    </row>
    <row r="94" spans="2:20" s="20" customFormat="1" ht="25" customHeight="1">
      <c r="B94" s="64" t="s">
        <v>11</v>
      </c>
      <c r="C94" s="192"/>
      <c r="D94" s="66"/>
      <c r="E94" s="66"/>
      <c r="F94" s="163"/>
      <c r="G94" s="66" t="s">
        <v>342</v>
      </c>
      <c r="H94" s="163"/>
      <c r="I94" s="164" t="s">
        <v>343</v>
      </c>
      <c r="J94" s="66"/>
      <c r="K94" s="406" t="s">
        <v>66</v>
      </c>
      <c r="L94" s="49"/>
      <c r="M94" s="10"/>
      <c r="N94" s="41"/>
    </row>
    <row r="95" spans="2:20" s="193" customFormat="1" ht="25" customHeight="1">
      <c r="B95" s="70" t="s">
        <v>78</v>
      </c>
      <c r="C95" s="169"/>
      <c r="D95" s="195"/>
      <c r="E95" s="195"/>
      <c r="F95" s="196"/>
      <c r="G95" s="415">
        <f>S3_archive.50_EUR</f>
        <v>31.15</v>
      </c>
      <c r="H95" s="196"/>
      <c r="I95" s="198"/>
      <c r="J95" s="199"/>
      <c r="K95" s="409">
        <f t="shared" ref="K95:K96" si="11">I95*G95</f>
        <v>0</v>
      </c>
      <c r="L95" s="201"/>
      <c r="M95" s="10"/>
      <c r="N95" s="150"/>
    </row>
    <row r="96" spans="2:20" s="41" customFormat="1" ht="25" customHeight="1">
      <c r="B96" s="145" t="s">
        <v>80</v>
      </c>
      <c r="D96" s="150"/>
      <c r="E96" s="150"/>
      <c r="F96" s="176"/>
      <c r="G96" s="416">
        <f>S3_storage50_EUR</f>
        <v>44.5</v>
      </c>
      <c r="H96" s="203"/>
      <c r="I96" s="204"/>
      <c r="J96" s="178"/>
      <c r="K96" s="412">
        <f t="shared" si="11"/>
        <v>0</v>
      </c>
      <c r="L96" s="54"/>
      <c r="M96" s="10"/>
      <c r="T96" s="53"/>
    </row>
    <row r="97" spans="2:19" s="84" customFormat="1" ht="25" customHeight="1">
      <c r="B97" s="85" t="s">
        <v>277</v>
      </c>
      <c r="C97" s="86"/>
      <c r="D97" s="86"/>
      <c r="E97" s="86"/>
      <c r="F97" s="86"/>
      <c r="G97" s="86"/>
      <c r="H97" s="86"/>
      <c r="I97" s="86"/>
      <c r="J97" s="86"/>
      <c r="K97" s="402">
        <f>SUM(K95:K96)</f>
        <v>0</v>
      </c>
      <c r="M97" s="10"/>
      <c r="P97" s="89"/>
      <c r="R97" s="89"/>
    </row>
    <row r="98" spans="2:19" ht="25" customHeight="1">
      <c r="B98" s="98"/>
      <c r="C98" s="99"/>
      <c r="D98" s="99"/>
      <c r="E98" s="99"/>
      <c r="F98" s="99"/>
      <c r="G98" s="100"/>
      <c r="H98" s="101"/>
      <c r="I98" s="101"/>
      <c r="M98" s="10"/>
      <c r="N98" s="53"/>
      <c r="O98" s="53"/>
      <c r="P98" s="69"/>
    </row>
    <row r="99" spans="2:19" s="122" customFormat="1" ht="25" hidden="1" customHeight="1">
      <c r="B99" s="205" t="s">
        <v>82</v>
      </c>
      <c r="C99" s="206"/>
      <c r="D99" s="206"/>
      <c r="E99" s="206"/>
      <c r="F99" s="206"/>
      <c r="G99" s="206"/>
      <c r="H99" s="207"/>
      <c r="I99" s="207"/>
      <c r="J99" s="207"/>
      <c r="K99" s="404"/>
      <c r="M99" s="10"/>
      <c r="N99" s="207"/>
      <c r="O99" s="207"/>
      <c r="P99" s="125"/>
      <c r="Q99" s="207"/>
      <c r="R99" s="126"/>
    </row>
    <row r="100" spans="2:19" s="20" customFormat="1" ht="25" hidden="1" customHeight="1">
      <c r="B100" s="64" t="s">
        <v>11</v>
      </c>
      <c r="C100" s="192" t="s">
        <v>76</v>
      </c>
      <c r="D100" s="538" t="s">
        <v>83</v>
      </c>
      <c r="E100" s="538"/>
      <c r="F100" s="538"/>
      <c r="G100" s="538"/>
      <c r="H100" s="538"/>
      <c r="I100" s="538"/>
      <c r="J100" s="66"/>
      <c r="K100" s="406"/>
      <c r="L100" s="49"/>
      <c r="M100" s="10"/>
      <c r="N100" s="41"/>
    </row>
    <row r="101" spans="2:19" s="193" customFormat="1" ht="25" hidden="1" customHeight="1">
      <c r="B101" s="151" t="s">
        <v>84</v>
      </c>
      <c r="C101" s="208"/>
      <c r="D101" s="209"/>
      <c r="E101" s="210">
        <f t="array" ref="E101">_xlfn.IFS(H101&lt;50,D102,H101&lt;100,D103,H101&lt;500,D104,H101&lt;1000,D105,H101&gt;999,D106)</f>
        <v>185</v>
      </c>
      <c r="F101" s="210"/>
      <c r="G101" s="210"/>
      <c r="H101" s="211">
        <v>600</v>
      </c>
      <c r="I101" s="212" t="s">
        <v>85</v>
      </c>
      <c r="J101" s="213"/>
      <c r="K101" s="417">
        <f t="array" ref="K101">_xlfn.IFS(H101&lt;1000,ROUNDUP(H101*E101,2),H101&gt;999,E101)</f>
        <v>111000</v>
      </c>
      <c r="L101" s="201"/>
      <c r="M101" s="10"/>
      <c r="N101" s="150"/>
    </row>
    <row r="102" spans="2:19" s="20" customFormat="1" ht="25" hidden="1" customHeight="1">
      <c r="B102" s="215" t="s">
        <v>84</v>
      </c>
      <c r="C102" s="216" t="s">
        <v>86</v>
      </c>
      <c r="D102" s="539">
        <f>S3_archive.50_SEK</f>
        <v>350</v>
      </c>
      <c r="E102" s="539"/>
      <c r="F102" s="539"/>
      <c r="G102" s="539"/>
      <c r="H102" s="539"/>
      <c r="I102" s="539"/>
      <c r="J102" s="217"/>
      <c r="K102" s="418"/>
      <c r="L102" s="49"/>
      <c r="M102" s="10"/>
      <c r="N102" s="41"/>
    </row>
    <row r="103" spans="2:19" s="20" customFormat="1" ht="25" hidden="1" customHeight="1">
      <c r="B103" s="219" t="s">
        <v>84</v>
      </c>
      <c r="C103" s="220" t="s">
        <v>87</v>
      </c>
      <c r="D103" s="540">
        <f>S3_archive.100_SEK</f>
        <v>270</v>
      </c>
      <c r="E103" s="540"/>
      <c r="F103" s="540"/>
      <c r="G103" s="540"/>
      <c r="H103" s="540"/>
      <c r="I103" s="540"/>
      <c r="J103" s="221"/>
      <c r="K103" s="419"/>
      <c r="L103" s="49"/>
      <c r="M103" s="10"/>
      <c r="N103" s="41"/>
    </row>
    <row r="104" spans="2:19" s="20" customFormat="1" ht="25" hidden="1" customHeight="1">
      <c r="B104" s="215" t="s">
        <v>84</v>
      </c>
      <c r="C104" s="216" t="s">
        <v>88</v>
      </c>
      <c r="D104" s="541">
        <f>S3_archive.500_SEK</f>
        <v>200</v>
      </c>
      <c r="E104" s="541"/>
      <c r="F104" s="541"/>
      <c r="G104" s="541"/>
      <c r="H104" s="541"/>
      <c r="I104" s="541"/>
      <c r="J104" s="223"/>
      <c r="K104" s="420"/>
      <c r="L104" s="49"/>
      <c r="M104" s="10"/>
      <c r="N104" s="41"/>
    </row>
    <row r="105" spans="2:19" s="20" customFormat="1" ht="25" hidden="1" customHeight="1">
      <c r="B105" s="219" t="s">
        <v>84</v>
      </c>
      <c r="C105" s="220" t="s">
        <v>89</v>
      </c>
      <c r="D105" s="540">
        <f>S3_archive.1000_SEK</f>
        <v>185</v>
      </c>
      <c r="E105" s="540"/>
      <c r="F105" s="540"/>
      <c r="G105" s="540"/>
      <c r="H105" s="540"/>
      <c r="I105" s="540"/>
      <c r="J105" s="221"/>
      <c r="K105" s="419"/>
      <c r="L105" s="49"/>
      <c r="M105" s="10"/>
      <c r="N105" s="41"/>
    </row>
    <row r="106" spans="2:19" s="20" customFormat="1" ht="25" hidden="1" customHeight="1">
      <c r="B106" s="225" t="s">
        <v>84</v>
      </c>
      <c r="C106" s="226" t="s">
        <v>90</v>
      </c>
      <c r="D106" s="542" t="str">
        <f>S3_archive.quote_SEK</f>
        <v>Be om offert</v>
      </c>
      <c r="E106" s="542"/>
      <c r="F106" s="542"/>
      <c r="G106" s="542"/>
      <c r="H106" s="542"/>
      <c r="I106" s="542"/>
      <c r="J106" s="227"/>
      <c r="K106" s="421"/>
      <c r="L106" s="49"/>
      <c r="M106" s="10"/>
      <c r="N106" s="41"/>
    </row>
    <row r="107" spans="2:19" s="20" customFormat="1" ht="25" hidden="1" customHeight="1">
      <c r="B107" s="119" t="s">
        <v>91</v>
      </c>
      <c r="C107" s="120"/>
      <c r="D107" s="120"/>
      <c r="E107" s="120"/>
      <c r="F107" s="93"/>
      <c r="G107" s="93"/>
      <c r="H107" s="94"/>
      <c r="I107" s="94"/>
      <c r="J107" s="92"/>
      <c r="K107" s="398">
        <f>K101</f>
        <v>111000</v>
      </c>
      <c r="L107" s="49"/>
      <c r="M107" s="10"/>
      <c r="N107" s="41"/>
    </row>
    <row r="108" spans="2:19" s="127" customFormat="1" ht="25" customHeight="1">
      <c r="B108" s="44"/>
      <c r="C108" s="120"/>
      <c r="D108" s="52"/>
      <c r="E108" s="52"/>
      <c r="F108" s="52"/>
      <c r="G108" s="45"/>
      <c r="H108" s="46"/>
      <c r="I108" s="94"/>
      <c r="J108" s="191"/>
      <c r="K108" s="389"/>
      <c r="L108" s="49"/>
      <c r="M108" s="10"/>
      <c r="N108" s="162"/>
      <c r="O108" s="162"/>
      <c r="P108" s="162"/>
      <c r="Q108" s="162"/>
      <c r="R108" s="162"/>
      <c r="S108" s="162"/>
    </row>
    <row r="109" spans="2:19" ht="25" customHeight="1">
      <c r="B109" s="229"/>
      <c r="C109" s="230"/>
      <c r="D109" s="230"/>
      <c r="E109" s="230"/>
      <c r="F109" s="231"/>
      <c r="G109" s="232"/>
      <c r="H109" s="181"/>
      <c r="I109" s="181"/>
      <c r="J109" s="181"/>
      <c r="K109" s="413"/>
      <c r="L109" s="183"/>
      <c r="M109" s="10"/>
      <c r="N109" s="41"/>
      <c r="Q109" s="20"/>
    </row>
    <row r="110" spans="2:19" s="20" customFormat="1" ht="25" customHeight="1">
      <c r="B110" s="534" t="s">
        <v>222</v>
      </c>
      <c r="C110" s="534"/>
      <c r="D110" s="534"/>
      <c r="E110" s="534"/>
      <c r="F110" s="534"/>
      <c r="G110" s="534"/>
      <c r="H110" s="37"/>
      <c r="J110" s="40"/>
      <c r="K110" s="388"/>
      <c r="L110" s="40"/>
      <c r="M110" s="10"/>
    </row>
    <row r="111" spans="2:19" s="20" customFormat="1" ht="25" customHeight="1">
      <c r="B111" s="534"/>
      <c r="C111" s="534"/>
      <c r="D111" s="534"/>
      <c r="E111" s="534"/>
      <c r="F111" s="534"/>
      <c r="G111" s="534"/>
      <c r="H111" s="37"/>
      <c r="J111" s="40"/>
      <c r="K111" s="388"/>
      <c r="L111" s="40"/>
      <c r="M111" s="10"/>
    </row>
    <row r="112" spans="2:19" s="20" customFormat="1" ht="25" customHeight="1">
      <c r="B112" s="534"/>
      <c r="C112" s="534"/>
      <c r="D112" s="534"/>
      <c r="E112" s="534"/>
      <c r="F112" s="534"/>
      <c r="G112" s="534"/>
      <c r="H112" s="37"/>
      <c r="J112" s="40"/>
      <c r="K112" s="388"/>
      <c r="L112" s="40"/>
      <c r="M112" s="10"/>
    </row>
    <row r="113" spans="2:32" s="20" customFormat="1" ht="25" customHeight="1">
      <c r="B113" s="42" t="s">
        <v>344</v>
      </c>
      <c r="C113" s="42"/>
      <c r="D113" s="42"/>
      <c r="E113" s="42"/>
      <c r="F113" s="42"/>
      <c r="H113" s="37"/>
      <c r="J113" s="40"/>
      <c r="K113" s="388"/>
      <c r="L113" s="40"/>
      <c r="M113" s="10"/>
    </row>
    <row r="114" spans="2:32" s="20" customFormat="1" ht="25" customHeight="1">
      <c r="B114" s="44" t="s">
        <v>331</v>
      </c>
      <c r="C114" s="44"/>
      <c r="D114" s="44"/>
      <c r="E114" s="44"/>
      <c r="F114" s="44"/>
      <c r="G114" s="45"/>
      <c r="H114" s="46"/>
      <c r="J114" s="47"/>
      <c r="K114" s="389"/>
      <c r="L114" s="49"/>
      <c r="M114" s="10"/>
      <c r="S114" s="41"/>
      <c r="T114" s="41"/>
      <c r="U114" s="41"/>
      <c r="V114" s="41"/>
      <c r="W114" s="41"/>
      <c r="X114" s="41"/>
      <c r="Y114" s="41"/>
      <c r="Z114" s="41"/>
    </row>
    <row r="115" spans="2:32" s="20" customFormat="1" ht="25" customHeight="1">
      <c r="B115" s="380" t="s">
        <v>332</v>
      </c>
      <c r="C115" s="51"/>
      <c r="D115" s="51"/>
      <c r="E115" s="52"/>
      <c r="F115" s="52"/>
      <c r="G115" s="45"/>
      <c r="H115" s="46"/>
      <c r="I115" s="45"/>
      <c r="J115" s="47"/>
      <c r="K115" s="389"/>
      <c r="L115" s="191"/>
      <c r="M115" s="10"/>
      <c r="O115" s="41"/>
      <c r="P115" s="41"/>
    </row>
    <row r="116" spans="2:32" s="127" customFormat="1" ht="25" customHeight="1">
      <c r="B116" s="233"/>
      <c r="C116" s="54"/>
      <c r="D116" s="54"/>
      <c r="E116" s="54"/>
      <c r="F116" s="54"/>
      <c r="G116" s="54"/>
      <c r="H116" s="54"/>
      <c r="I116" s="54"/>
      <c r="J116" s="54"/>
      <c r="K116" s="404"/>
      <c r="L116" s="54"/>
      <c r="M116" s="10"/>
      <c r="P116" s="162"/>
      <c r="Q116" s="162"/>
      <c r="R116" s="162"/>
      <c r="S116" s="162"/>
      <c r="T116" s="162"/>
      <c r="U116" s="162"/>
    </row>
    <row r="117" spans="2:32" ht="25" customHeight="1">
      <c r="B117" s="64" t="s">
        <v>11</v>
      </c>
      <c r="C117" s="234"/>
      <c r="D117" s="234"/>
      <c r="E117" s="66" t="s">
        <v>224</v>
      </c>
      <c r="F117" s="234"/>
      <c r="G117" s="66" t="s">
        <v>345</v>
      </c>
      <c r="H117" s="163"/>
      <c r="I117" s="164" t="s">
        <v>340</v>
      </c>
      <c r="J117" s="164" t="s">
        <v>346</v>
      </c>
      <c r="K117" s="406" t="s">
        <v>100</v>
      </c>
      <c r="L117" s="160"/>
      <c r="M117" s="10"/>
    </row>
    <row r="118" spans="2:32" ht="25" customHeight="1">
      <c r="B118" s="140" t="s">
        <v>101</v>
      </c>
      <c r="C118" s="169"/>
      <c r="D118" s="169"/>
      <c r="E118" s="235" t="s">
        <v>47</v>
      </c>
      <c r="F118" s="173"/>
      <c r="G118" s="422">
        <f>BAAS_on.demand_EUR</f>
        <v>0.21804999999999999</v>
      </c>
      <c r="H118" s="173"/>
      <c r="I118" s="198"/>
      <c r="J118" s="237" t="s">
        <v>47</v>
      </c>
      <c r="K118" s="409">
        <f>ROUNDUP(I118*G118,2)</f>
        <v>0</v>
      </c>
      <c r="L118" s="160"/>
      <c r="M118" s="10"/>
    </row>
    <row r="119" spans="2:32" ht="25" customHeight="1">
      <c r="B119" s="145" t="s">
        <v>102</v>
      </c>
      <c r="C119" s="150"/>
      <c r="D119" s="150"/>
      <c r="E119" s="423">
        <f>BAAS_small.fee_EUR</f>
        <v>489.5</v>
      </c>
      <c r="F119" s="178"/>
      <c r="G119" s="424">
        <f>BAAS_small_EUR</f>
        <v>0.15575</v>
      </c>
      <c r="H119" s="178"/>
      <c r="I119" s="239"/>
      <c r="J119" s="240">
        <v>0.75</v>
      </c>
      <c r="K119" s="412">
        <f>IF(I119&gt;0,$E$119+($G$119*(I119*(1-$J$119))),0)</f>
        <v>0</v>
      </c>
      <c r="L119" s="160"/>
      <c r="M119" s="10"/>
    </row>
    <row r="120" spans="2:32" s="241" customFormat="1" ht="25" customHeight="1">
      <c r="B120" s="151" t="s">
        <v>103</v>
      </c>
      <c r="C120" s="208"/>
      <c r="D120" s="208"/>
      <c r="E120" s="425">
        <f>BAAS_large.fee_EUR</f>
        <v>845.5</v>
      </c>
      <c r="F120" s="212"/>
      <c r="G120" s="422">
        <f>BAAS_large_EUR</f>
        <v>8.1879999999999994E-2</v>
      </c>
      <c r="H120" s="212"/>
      <c r="I120" s="211"/>
      <c r="J120" s="243">
        <v>0.75</v>
      </c>
      <c r="K120" s="417">
        <f>IF(I120&gt;0,$E$120+($G$120*(I120*(1-$J$120))),0)</f>
        <v>0</v>
      </c>
      <c r="L120" s="160"/>
      <c r="M120" s="10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2:32" s="84" customFormat="1" ht="25" customHeight="1">
      <c r="B121" s="85" t="s">
        <v>277</v>
      </c>
      <c r="C121" s="86"/>
      <c r="D121" s="86"/>
      <c r="E121" s="86"/>
      <c r="F121" s="86"/>
      <c r="G121" s="86"/>
      <c r="H121" s="86"/>
      <c r="I121" s="86" t="str">
        <f>SUM(I118:I120)&amp;" GB"</f>
        <v>0 GB</v>
      </c>
      <c r="J121" s="86"/>
      <c r="K121" s="402">
        <f>SUM(K118:K120)</f>
        <v>0</v>
      </c>
      <c r="M121" s="10"/>
      <c r="P121" s="89"/>
      <c r="R121" s="89"/>
    </row>
    <row r="122" spans="2:32" s="241" customFormat="1" ht="25" customHeight="1">
      <c r="B122" s="119"/>
      <c r="C122" s="120"/>
      <c r="D122" s="120"/>
      <c r="E122" s="120"/>
      <c r="F122" s="244"/>
      <c r="G122" s="94"/>
      <c r="H122" s="94"/>
      <c r="I122" s="94"/>
      <c r="J122" s="94"/>
      <c r="K122" s="426"/>
      <c r="L122" s="92"/>
      <c r="M122" s="10"/>
      <c r="O122" s="246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2:32" ht="25" customHeight="1">
      <c r="B123" s="229"/>
      <c r="C123" s="230"/>
      <c r="D123" s="230"/>
      <c r="E123" s="230"/>
      <c r="F123" s="231"/>
      <c r="G123" s="232"/>
      <c r="H123" s="181"/>
      <c r="I123" s="181"/>
      <c r="J123" s="181"/>
      <c r="K123" s="413"/>
      <c r="L123" s="201"/>
      <c r="M123" s="10"/>
      <c r="N123" s="41"/>
    </row>
    <row r="124" spans="2:32" ht="25" customHeight="1">
      <c r="B124" s="229"/>
      <c r="C124" s="230"/>
      <c r="D124" s="230"/>
      <c r="E124" s="230"/>
      <c r="F124" s="231"/>
      <c r="G124" s="232"/>
      <c r="H124" s="181"/>
      <c r="I124" s="181"/>
      <c r="J124" s="181"/>
      <c r="K124" s="413"/>
      <c r="L124" s="183"/>
      <c r="M124" s="10"/>
      <c r="N124" s="41"/>
      <c r="Q124" s="20"/>
    </row>
    <row r="125" spans="2:32" s="20" customFormat="1" ht="25" hidden="1" customHeight="1">
      <c r="B125" s="534" t="s">
        <v>104</v>
      </c>
      <c r="C125" s="534"/>
      <c r="D125" s="534"/>
      <c r="E125" s="534"/>
      <c r="F125" s="534"/>
      <c r="G125" s="534"/>
      <c r="H125" s="37"/>
      <c r="J125" s="40"/>
      <c r="K125" s="388"/>
      <c r="L125" s="40"/>
      <c r="M125" s="10"/>
    </row>
    <row r="126" spans="2:32" s="20" customFormat="1" ht="25" hidden="1" customHeight="1">
      <c r="B126" s="534"/>
      <c r="C126" s="534"/>
      <c r="D126" s="534"/>
      <c r="E126" s="534"/>
      <c r="F126" s="534"/>
      <c r="G126" s="534"/>
      <c r="H126" s="37"/>
      <c r="J126" s="40"/>
      <c r="K126" s="388"/>
      <c r="L126" s="40"/>
      <c r="M126" s="10"/>
    </row>
    <row r="127" spans="2:32" s="20" customFormat="1" ht="25" hidden="1" customHeight="1">
      <c r="B127" s="534"/>
      <c r="C127" s="534"/>
      <c r="D127" s="534"/>
      <c r="E127" s="534"/>
      <c r="F127" s="534"/>
      <c r="G127" s="534"/>
      <c r="H127" s="37"/>
      <c r="J127" s="40"/>
      <c r="K127" s="388"/>
      <c r="L127" s="40"/>
      <c r="M127" s="10"/>
    </row>
    <row r="128" spans="2:32" s="20" customFormat="1" ht="25" hidden="1" customHeight="1">
      <c r="B128" s="42" t="s">
        <v>347</v>
      </c>
      <c r="C128" s="247"/>
      <c r="D128" s="247"/>
      <c r="E128" s="247"/>
      <c r="F128" s="247"/>
      <c r="H128" s="37"/>
      <c r="J128" s="40"/>
      <c r="K128" s="388"/>
      <c r="L128" s="40"/>
      <c r="M128" s="10"/>
    </row>
    <row r="129" spans="2:32" s="20" customFormat="1" ht="25" hidden="1" customHeight="1">
      <c r="B129" s="44" t="s">
        <v>348</v>
      </c>
      <c r="C129" s="44"/>
      <c r="D129" s="44"/>
      <c r="E129" s="44"/>
      <c r="F129" s="44"/>
      <c r="G129" s="45"/>
      <c r="H129" s="46"/>
      <c r="J129" s="47"/>
      <c r="K129" s="389"/>
      <c r="L129" s="49"/>
      <c r="M129" s="10"/>
      <c r="S129" s="41"/>
      <c r="T129" s="41"/>
      <c r="U129" s="41"/>
      <c r="V129" s="41"/>
      <c r="W129" s="41"/>
      <c r="X129" s="41"/>
      <c r="Y129" s="41"/>
      <c r="Z129" s="41"/>
    </row>
    <row r="130" spans="2:32" s="20" customFormat="1" ht="25" hidden="1" customHeight="1">
      <c r="B130" s="380" t="s">
        <v>349</v>
      </c>
      <c r="C130" s="51"/>
      <c r="D130" s="51"/>
      <c r="E130" s="51"/>
      <c r="F130" s="52"/>
      <c r="G130" s="45"/>
      <c r="H130" s="46"/>
      <c r="I130" s="45"/>
      <c r="J130" s="47"/>
      <c r="K130" s="389"/>
      <c r="L130" s="191"/>
      <c r="M130" s="10"/>
      <c r="O130" s="41"/>
      <c r="P130" s="41"/>
    </row>
    <row r="131" spans="2:32" s="127" customFormat="1" ht="25" hidden="1" customHeight="1">
      <c r="B131" s="233"/>
      <c r="C131" s="54"/>
      <c r="D131" s="54"/>
      <c r="E131" s="54"/>
      <c r="F131" s="54"/>
      <c r="G131" s="54"/>
      <c r="H131" s="54"/>
      <c r="I131" s="54"/>
      <c r="J131" s="54"/>
      <c r="K131" s="404"/>
      <c r="L131" s="54"/>
      <c r="M131" s="10"/>
      <c r="P131" s="162"/>
      <c r="Q131" s="162"/>
      <c r="R131" s="162"/>
      <c r="S131" s="162"/>
      <c r="T131" s="162"/>
      <c r="U131" s="162"/>
    </row>
    <row r="132" spans="2:32" ht="25" hidden="1" customHeight="1">
      <c r="B132" s="64" t="s">
        <v>274</v>
      </c>
      <c r="C132" s="543" t="s">
        <v>350</v>
      </c>
      <c r="D132" s="543"/>
      <c r="E132" s="543" t="s">
        <v>351</v>
      </c>
      <c r="F132" s="543"/>
      <c r="G132" s="557" t="s">
        <v>352</v>
      </c>
      <c r="H132" s="557"/>
      <c r="I132" s="163"/>
      <c r="J132" s="163"/>
      <c r="K132" s="406" t="s">
        <v>109</v>
      </c>
      <c r="L132" s="160"/>
      <c r="M132" s="10"/>
    </row>
    <row r="133" spans="2:32" ht="25" hidden="1" customHeight="1">
      <c r="B133" s="248" t="s">
        <v>110</v>
      </c>
      <c r="C133" s="544" t="s">
        <v>111</v>
      </c>
      <c r="D133" s="544"/>
      <c r="E133" s="545" t="s">
        <v>353</v>
      </c>
      <c r="F133" s="545"/>
      <c r="G133" s="427" t="str">
        <f>PAAS_man.kubernetes_EUR</f>
        <v>Request a quote</v>
      </c>
      <c r="H133" s="428"/>
      <c r="I133" s="198"/>
      <c r="J133" s="249">
        <v>1</v>
      </c>
      <c r="K133" s="429" t="str">
        <f>IF(J133=1,G133," ")</f>
        <v>Request a quote</v>
      </c>
      <c r="L133" s="160"/>
      <c r="M133" s="10"/>
    </row>
    <row r="134" spans="2:32" ht="25" hidden="1" customHeight="1">
      <c r="B134" s="145" t="s">
        <v>113</v>
      </c>
      <c r="C134" s="551" t="s">
        <v>354</v>
      </c>
      <c r="D134" s="551"/>
      <c r="E134" s="552" t="s">
        <v>355</v>
      </c>
      <c r="F134" s="552"/>
      <c r="G134" s="430" t="str">
        <f>PAAS_man.kubernetes8_EUR</f>
        <v>Request a quote</v>
      </c>
      <c r="H134" s="431"/>
      <c r="I134" s="204"/>
      <c r="J134" s="178"/>
      <c r="K134" s="432" t="str">
        <f>IF(J133=3,G134," ")</f>
        <v xml:space="preserve"> </v>
      </c>
      <c r="L134" s="160"/>
      <c r="M134" s="10"/>
    </row>
    <row r="135" spans="2:32" s="84" customFormat="1" ht="25" hidden="1" customHeight="1">
      <c r="B135" s="85" t="s">
        <v>277</v>
      </c>
      <c r="C135" s="86"/>
      <c r="D135" s="86"/>
      <c r="E135" s="86"/>
      <c r="F135" s="86"/>
      <c r="G135" s="86"/>
      <c r="H135" s="86"/>
      <c r="I135" s="86"/>
      <c r="J135" s="86"/>
      <c r="K135" s="402">
        <f>SUM(K133:K134)</f>
        <v>0</v>
      </c>
      <c r="M135" s="10"/>
      <c r="P135" s="89"/>
      <c r="R135" s="89"/>
    </row>
    <row r="136" spans="2:32" s="241" customFormat="1" ht="25" hidden="1" customHeight="1">
      <c r="B136" s="119"/>
      <c r="C136" s="94"/>
      <c r="D136" s="93"/>
      <c r="E136" s="93"/>
      <c r="F136" s="93"/>
      <c r="G136" s="94"/>
      <c r="H136" s="94"/>
      <c r="I136" s="94"/>
      <c r="J136" s="94"/>
      <c r="K136" s="398"/>
      <c r="L136" s="160"/>
      <c r="M136" s="10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2:32" s="241" customFormat="1" ht="25" customHeight="1">
      <c r="B137" s="119"/>
      <c r="C137" s="120"/>
      <c r="D137" s="120"/>
      <c r="E137" s="120"/>
      <c r="F137" s="93"/>
      <c r="G137" s="94"/>
      <c r="H137" s="94"/>
      <c r="I137" s="94"/>
      <c r="J137" s="94"/>
      <c r="K137" s="426"/>
      <c r="L137" s="92"/>
      <c r="M137" s="10"/>
      <c r="O137" s="246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2:32" s="127" customFormat="1" ht="25" customHeight="1">
      <c r="B138" s="44"/>
      <c r="C138" s="120"/>
      <c r="D138" s="52"/>
      <c r="E138" s="52"/>
      <c r="F138" s="52"/>
      <c r="G138" s="45"/>
      <c r="H138" s="46"/>
      <c r="I138" s="45"/>
      <c r="J138" s="191"/>
      <c r="K138" s="389"/>
      <c r="L138" s="49"/>
      <c r="M138" s="10"/>
      <c r="N138" s="162"/>
      <c r="O138" s="162"/>
      <c r="P138" s="162"/>
      <c r="Q138" s="162"/>
      <c r="R138" s="162"/>
      <c r="S138" s="162"/>
    </row>
    <row r="139" spans="2:32" s="20" customFormat="1" ht="25" customHeight="1">
      <c r="B139" s="534" t="s">
        <v>356</v>
      </c>
      <c r="C139" s="534"/>
      <c r="D139" s="534"/>
      <c r="E139" s="534"/>
      <c r="F139" s="534"/>
      <c r="G139" s="534"/>
      <c r="H139" s="37"/>
      <c r="J139" s="40"/>
      <c r="K139" s="388"/>
      <c r="M139" s="10"/>
    </row>
    <row r="140" spans="2:32" s="20" customFormat="1" ht="25" customHeight="1">
      <c r="B140" s="534"/>
      <c r="C140" s="534"/>
      <c r="D140" s="534"/>
      <c r="E140" s="534"/>
      <c r="F140" s="534"/>
      <c r="G140" s="534"/>
      <c r="H140" s="37"/>
      <c r="J140" s="40"/>
      <c r="K140" s="388"/>
      <c r="M140" s="10"/>
    </row>
    <row r="141" spans="2:32" s="20" customFormat="1" ht="25" customHeight="1">
      <c r="B141" s="534"/>
      <c r="C141" s="534"/>
      <c r="D141" s="534"/>
      <c r="E141" s="534"/>
      <c r="F141" s="534"/>
      <c r="G141" s="534"/>
      <c r="H141" s="37"/>
      <c r="J141" s="40"/>
      <c r="K141" s="388"/>
      <c r="M141" s="10"/>
    </row>
    <row r="142" spans="2:32" s="20" customFormat="1" ht="25" customHeight="1">
      <c r="B142" s="44" t="s">
        <v>331</v>
      </c>
      <c r="C142" s="44"/>
      <c r="D142" s="44"/>
      <c r="E142" s="44"/>
      <c r="F142" s="44"/>
      <c r="G142" s="45"/>
      <c r="H142" s="46"/>
      <c r="J142" s="47"/>
      <c r="K142" s="389"/>
      <c r="L142" s="49"/>
      <c r="M142" s="10"/>
      <c r="S142" s="41"/>
      <c r="T142" s="41"/>
      <c r="U142" s="41"/>
      <c r="V142" s="41"/>
      <c r="W142" s="41"/>
      <c r="X142" s="41"/>
      <c r="Y142" s="41"/>
      <c r="Z142" s="41"/>
    </row>
    <row r="143" spans="2:32" s="20" customFormat="1" ht="25" customHeight="1">
      <c r="B143" s="44"/>
      <c r="C143" s="52"/>
      <c r="D143" s="52"/>
      <c r="E143" s="52"/>
      <c r="F143" s="52"/>
      <c r="G143" s="45"/>
      <c r="H143" s="46"/>
      <c r="I143" s="45"/>
      <c r="J143" s="47"/>
      <c r="K143" s="389"/>
      <c r="L143" s="45"/>
      <c r="M143" s="10"/>
    </row>
    <row r="144" spans="2:32" s="54" customFormat="1" ht="25" customHeight="1">
      <c r="B144" s="56" t="s">
        <v>286</v>
      </c>
      <c r="C144" s="52"/>
      <c r="D144" s="52"/>
      <c r="E144" s="52"/>
      <c r="F144" s="52"/>
      <c r="G144" s="45"/>
      <c r="H144" s="45"/>
      <c r="I144" s="45"/>
      <c r="J144" s="47"/>
      <c r="K144" s="389"/>
      <c r="L144" s="45"/>
      <c r="M144" s="10"/>
      <c r="N144" s="41"/>
      <c r="O144" s="41"/>
      <c r="P144" s="41"/>
      <c r="Q144" s="41"/>
      <c r="R144" s="41"/>
      <c r="S144" s="41"/>
    </row>
    <row r="145" spans="2:18" ht="25" customHeight="1">
      <c r="B145" s="161" t="s">
        <v>357</v>
      </c>
      <c r="M145" s="10"/>
    </row>
    <row r="146" spans="2:18" ht="25" customHeight="1">
      <c r="B146" s="252" t="s">
        <v>11</v>
      </c>
      <c r="C146" s="253" t="s">
        <v>287</v>
      </c>
      <c r="D146" s="253"/>
      <c r="E146" s="163" t="s">
        <v>215</v>
      </c>
      <c r="F146" s="163"/>
      <c r="G146" s="163"/>
      <c r="H146" s="163"/>
      <c r="I146" s="163"/>
      <c r="J146" s="253" t="s">
        <v>358</v>
      </c>
      <c r="K146" s="406" t="s">
        <v>359</v>
      </c>
      <c r="L146" s="110"/>
      <c r="M146" s="10"/>
      <c r="N146" s="183"/>
      <c r="O146" s="54"/>
    </row>
    <row r="147" spans="2:18" ht="25" customHeight="1">
      <c r="B147" s="140" t="s">
        <v>122</v>
      </c>
      <c r="C147" s="254" t="s">
        <v>123</v>
      </c>
      <c r="D147" s="254"/>
      <c r="E147" s="168" t="s">
        <v>241</v>
      </c>
      <c r="F147" s="173"/>
      <c r="G147" s="173"/>
      <c r="H147" s="173"/>
      <c r="I147" s="173"/>
      <c r="J147" s="255" t="s">
        <v>360</v>
      </c>
      <c r="K147" s="433">
        <f>NET_publicv4_EUR</f>
        <v>2.2250000000000001</v>
      </c>
      <c r="M147" s="10"/>
      <c r="N147" s="183"/>
      <c r="O147" s="54"/>
    </row>
    <row r="148" spans="2:18" ht="25" customHeight="1">
      <c r="B148" s="145" t="s">
        <v>126</v>
      </c>
      <c r="C148" s="256" t="s">
        <v>127</v>
      </c>
      <c r="D148" s="256"/>
      <c r="E148" s="41" t="s">
        <v>241</v>
      </c>
      <c r="F148" s="257"/>
      <c r="G148" s="257"/>
      <c r="H148" s="257"/>
      <c r="I148" s="257"/>
      <c r="J148" s="258" t="s">
        <v>47</v>
      </c>
      <c r="K148" s="434">
        <f>NET_publicv6_EUR</f>
        <v>0</v>
      </c>
      <c r="M148" s="10"/>
      <c r="N148" s="183"/>
      <c r="O148" s="54"/>
    </row>
    <row r="149" spans="2:18" ht="25" customHeight="1">
      <c r="B149" s="140" t="s">
        <v>128</v>
      </c>
      <c r="C149" s="254" t="s">
        <v>361</v>
      </c>
      <c r="D149" s="254"/>
      <c r="E149" s="260"/>
      <c r="F149" s="261"/>
      <c r="G149" s="261"/>
      <c r="H149" s="261"/>
      <c r="I149" s="261"/>
      <c r="J149" s="263" t="s">
        <v>47</v>
      </c>
      <c r="K149" s="433">
        <f>NET_ingress_EUR</f>
        <v>0</v>
      </c>
      <c r="M149" s="10"/>
      <c r="N149" s="183"/>
      <c r="O149" s="54"/>
    </row>
    <row r="150" spans="2:18" ht="25" customHeight="1">
      <c r="B150" s="145" t="s">
        <v>130</v>
      </c>
      <c r="C150" s="256" t="s">
        <v>361</v>
      </c>
      <c r="D150" s="256"/>
      <c r="E150" s="41"/>
      <c r="F150" s="257"/>
      <c r="G150" s="257"/>
      <c r="H150" s="257"/>
      <c r="I150" s="257"/>
      <c r="J150" s="258" t="s">
        <v>47</v>
      </c>
      <c r="K150" s="434">
        <f>NET_egress_EUR</f>
        <v>0</v>
      </c>
      <c r="M150" s="10"/>
      <c r="N150" s="183"/>
      <c r="O150" s="54"/>
    </row>
    <row r="151" spans="2:18" ht="25" customHeight="1">
      <c r="B151" s="140" t="s">
        <v>131</v>
      </c>
      <c r="C151" s="254" t="s">
        <v>132</v>
      </c>
      <c r="D151" s="254"/>
      <c r="E151" s="527" t="s">
        <v>475</v>
      </c>
      <c r="F151" s="261"/>
      <c r="G151" s="261"/>
      <c r="H151" s="261"/>
      <c r="I151" s="261"/>
      <c r="J151" s="255" t="s">
        <v>362</v>
      </c>
      <c r="K151" s="528">
        <f>NET_mgn.slb_EUR</f>
        <v>186</v>
      </c>
      <c r="M151" s="10"/>
    </row>
    <row r="152" spans="2:18" ht="25" customHeight="1">
      <c r="B152" s="145" t="s">
        <v>134</v>
      </c>
      <c r="C152" s="256" t="s">
        <v>135</v>
      </c>
      <c r="D152" s="256"/>
      <c r="E152" s="41"/>
      <c r="F152" s="257"/>
      <c r="G152" s="257"/>
      <c r="H152" s="257"/>
      <c r="I152" s="257"/>
      <c r="J152" s="258" t="s">
        <v>47</v>
      </c>
      <c r="K152" s="434">
        <f>NET_rdns_EUR</f>
        <v>0</v>
      </c>
      <c r="M152" s="10"/>
      <c r="N152" s="183"/>
      <c r="O152" s="54"/>
    </row>
    <row r="153" spans="2:18" ht="25" customHeight="1">
      <c r="B153" s="140" t="s">
        <v>136</v>
      </c>
      <c r="C153" s="254" t="s">
        <v>137</v>
      </c>
      <c r="D153" s="254"/>
      <c r="E153" s="173"/>
      <c r="F153" s="261"/>
      <c r="G153" s="261"/>
      <c r="H153" s="261"/>
      <c r="I153" s="261"/>
      <c r="J153" s="263" t="s">
        <v>47</v>
      </c>
      <c r="K153" s="433">
        <v>0</v>
      </c>
      <c r="M153" s="10"/>
      <c r="N153" s="183"/>
      <c r="O153" s="54"/>
    </row>
    <row r="154" spans="2:18" ht="25" customHeight="1">
      <c r="B154" s="264"/>
      <c r="C154" s="265"/>
      <c r="D154" s="266"/>
      <c r="E154" s="266"/>
      <c r="F154" s="266"/>
      <c r="G154" s="266"/>
      <c r="H154" s="266"/>
      <c r="I154" s="266"/>
      <c r="J154" s="265"/>
      <c r="K154" s="435"/>
      <c r="M154" s="10"/>
      <c r="N154" s="183"/>
      <c r="O154" s="54"/>
    </row>
    <row r="155" spans="2:18" ht="25" customHeight="1">
      <c r="C155" s="268"/>
      <c r="J155" s="268"/>
      <c r="M155" s="10"/>
      <c r="N155" s="183"/>
      <c r="O155" s="54"/>
    </row>
    <row r="156" spans="2:18" ht="25" customHeight="1">
      <c r="C156" s="268"/>
      <c r="J156" s="268"/>
      <c r="M156" s="10"/>
      <c r="N156" s="183"/>
      <c r="O156" s="54"/>
    </row>
    <row r="157" spans="2:18" ht="25" customHeight="1">
      <c r="B157" s="56" t="s">
        <v>363</v>
      </c>
      <c r="C157" s="110"/>
      <c r="D157" s="110"/>
      <c r="E157" s="110"/>
      <c r="F157" s="110"/>
      <c r="G157" s="110"/>
      <c r="H157" s="110"/>
      <c r="I157" s="110"/>
      <c r="J157" s="269"/>
      <c r="M157" s="10"/>
      <c r="N157" s="183"/>
      <c r="O157" s="54"/>
    </row>
    <row r="158" spans="2:18" ht="25" customHeight="1">
      <c r="B158" s="161" t="s">
        <v>364</v>
      </c>
      <c r="K158" s="1"/>
      <c r="M158" s="10"/>
    </row>
    <row r="159" spans="2:18" ht="25" customHeight="1">
      <c r="B159" s="252" t="s">
        <v>11</v>
      </c>
      <c r="C159" s="253"/>
      <c r="D159" s="253"/>
      <c r="E159" s="163" t="s">
        <v>215</v>
      </c>
      <c r="F159" s="163"/>
      <c r="G159" s="163"/>
      <c r="H159" s="163"/>
      <c r="I159" s="163"/>
      <c r="J159" s="253" t="s">
        <v>358</v>
      </c>
      <c r="K159" s="406" t="s">
        <v>359</v>
      </c>
      <c r="M159" s="10"/>
      <c r="N159" s="183"/>
      <c r="O159" s="54"/>
    </row>
    <row r="160" spans="2:18" ht="25" customHeight="1">
      <c r="B160" s="140" t="s">
        <v>140</v>
      </c>
      <c r="C160" s="254"/>
      <c r="D160" s="173"/>
      <c r="E160" s="173" t="s">
        <v>141</v>
      </c>
      <c r="F160" s="173"/>
      <c r="G160" s="173"/>
      <c r="H160" s="173"/>
      <c r="I160" s="173"/>
      <c r="J160" s="255" t="s">
        <v>12</v>
      </c>
      <c r="K160" s="433">
        <f>SW_win.ser.201X_EUR</f>
        <v>15.574999999999999</v>
      </c>
      <c r="L160" s="181"/>
      <c r="M160" s="10"/>
      <c r="N160" s="183"/>
      <c r="O160" s="54"/>
      <c r="Q160" s="41"/>
      <c r="R160" s="41"/>
    </row>
    <row r="161" spans="2:20" ht="25" customHeight="1">
      <c r="B161" s="145" t="s">
        <v>142</v>
      </c>
      <c r="C161" s="256"/>
      <c r="D161" s="178"/>
      <c r="E161" s="178" t="s">
        <v>143</v>
      </c>
      <c r="F161" s="257"/>
      <c r="G161" s="257"/>
      <c r="H161" s="257"/>
      <c r="I161" s="257"/>
      <c r="J161" s="262" t="s">
        <v>12</v>
      </c>
      <c r="K161" s="434">
        <f>SW_ms.sql.ser_EUR</f>
        <v>109.381</v>
      </c>
      <c r="L161" s="181"/>
      <c r="M161" s="10"/>
      <c r="N161" s="183"/>
      <c r="O161" s="54"/>
      <c r="Q161" s="41"/>
      <c r="R161" s="41"/>
    </row>
    <row r="162" spans="2:20" ht="25" customHeight="1">
      <c r="B162" s="140" t="s">
        <v>144</v>
      </c>
      <c r="C162" s="254"/>
      <c r="D162" s="173"/>
      <c r="E162" s="173" t="s">
        <v>145</v>
      </c>
      <c r="F162" s="173"/>
      <c r="G162" s="173"/>
      <c r="H162" s="173"/>
      <c r="I162" s="173"/>
      <c r="J162" s="255" t="s">
        <v>12</v>
      </c>
      <c r="K162" s="433">
        <f>SW_ms.sql.ser.ent_EUR</f>
        <v>424.17399999999998</v>
      </c>
      <c r="L162" s="181"/>
      <c r="M162" s="10"/>
      <c r="N162" s="183"/>
      <c r="O162" s="54"/>
      <c r="Q162" s="41"/>
      <c r="R162" s="41"/>
    </row>
    <row r="163" spans="2:20" s="20" customFormat="1" ht="25" customHeight="1">
      <c r="B163" s="145" t="s">
        <v>146</v>
      </c>
      <c r="C163" s="256"/>
      <c r="D163" s="178"/>
      <c r="E163" s="178" t="s">
        <v>147</v>
      </c>
      <c r="F163" s="257"/>
      <c r="G163" s="257"/>
      <c r="H163" s="257"/>
      <c r="I163" s="257"/>
      <c r="J163" s="530" t="s">
        <v>477</v>
      </c>
      <c r="K163" s="434">
        <f>SW_nextcloud_EUR</f>
        <v>6</v>
      </c>
      <c r="M163" s="10"/>
      <c r="N163" s="183"/>
      <c r="O163" s="54"/>
    </row>
    <row r="164" spans="2:20" ht="25" customHeight="1">
      <c r="B164" s="270"/>
      <c r="C164" s="271"/>
      <c r="D164" s="279"/>
      <c r="E164" s="272"/>
      <c r="F164" s="273"/>
      <c r="G164" s="273"/>
      <c r="H164" s="273"/>
      <c r="I164" s="273"/>
      <c r="J164" s="273"/>
      <c r="K164" s="274"/>
      <c r="M164" s="10"/>
      <c r="N164" s="183"/>
      <c r="O164" s="54"/>
    </row>
    <row r="165" spans="2:20" ht="25" customHeight="1">
      <c r="B165" s="145"/>
      <c r="C165" s="256"/>
      <c r="D165" s="178"/>
      <c r="E165" s="238"/>
      <c r="F165" s="257"/>
      <c r="G165" s="276"/>
      <c r="H165" s="262"/>
      <c r="I165" s="280"/>
      <c r="M165" s="10"/>
    </row>
    <row r="166" spans="2:20" ht="25" customHeight="1">
      <c r="B166" s="281"/>
      <c r="C166" s="230"/>
      <c r="D166" s="230"/>
      <c r="E166" s="230"/>
      <c r="F166" s="231"/>
      <c r="G166" s="232"/>
      <c r="H166" s="230"/>
      <c r="I166" s="181"/>
      <c r="J166" s="181"/>
      <c r="K166" s="413"/>
      <c r="L166" s="183"/>
      <c r="M166" s="10"/>
      <c r="N166" s="41"/>
      <c r="O166" s="41"/>
    </row>
    <row r="167" spans="2:20" s="20" customFormat="1" ht="25" customHeight="1">
      <c r="B167" s="534" t="s">
        <v>150</v>
      </c>
      <c r="C167" s="534"/>
      <c r="D167" s="534"/>
      <c r="E167" s="534"/>
      <c r="F167" s="534"/>
      <c r="G167" s="534"/>
      <c r="H167" s="282"/>
      <c r="J167" s="40"/>
      <c r="K167" s="388"/>
      <c r="M167" s="10"/>
    </row>
    <row r="168" spans="2:20" s="20" customFormat="1" ht="25" customHeight="1">
      <c r="B168" s="534"/>
      <c r="C168" s="534"/>
      <c r="D168" s="534"/>
      <c r="E168" s="534"/>
      <c r="F168" s="534"/>
      <c r="G168" s="534"/>
      <c r="H168" s="282"/>
      <c r="J168" s="40"/>
      <c r="K168" s="388"/>
      <c r="M168" s="10"/>
    </row>
    <row r="169" spans="2:20" s="20" customFormat="1" ht="25" customHeight="1">
      <c r="B169" s="534"/>
      <c r="C169" s="534"/>
      <c r="D169" s="534"/>
      <c r="E169" s="534"/>
      <c r="F169" s="534"/>
      <c r="G169" s="534"/>
      <c r="H169" s="282"/>
      <c r="J169" s="40"/>
      <c r="K169" s="388"/>
      <c r="M169" s="10"/>
    </row>
    <row r="170" spans="2:20" s="20" customFormat="1" ht="25" customHeight="1">
      <c r="B170" s="548" t="s">
        <v>365</v>
      </c>
      <c r="C170" s="548"/>
      <c r="D170" s="548"/>
      <c r="E170" s="548"/>
      <c r="F170" s="548"/>
      <c r="H170" s="282"/>
      <c r="J170" s="40"/>
      <c r="K170" s="388"/>
      <c r="M170" s="10"/>
    </row>
    <row r="171" spans="2:20" s="20" customFormat="1" ht="25" customHeight="1">
      <c r="B171" s="44" t="s">
        <v>331</v>
      </c>
      <c r="C171" s="186"/>
      <c r="D171" s="186"/>
      <c r="E171" s="186"/>
      <c r="F171" s="186"/>
      <c r="G171" s="45"/>
      <c r="H171" s="46"/>
      <c r="I171" s="45"/>
      <c r="J171" s="47"/>
      <c r="K171" s="389"/>
      <c r="L171" s="45"/>
      <c r="M171" s="10"/>
    </row>
    <row r="172" spans="2:20" s="20" customFormat="1" ht="25" customHeight="1">
      <c r="B172" s="44"/>
      <c r="C172" s="52"/>
      <c r="D172" s="52"/>
      <c r="E172" s="52"/>
      <c r="F172" s="52"/>
      <c r="G172" s="45"/>
      <c r="H172" s="46"/>
      <c r="I172" s="45"/>
      <c r="J172" s="47"/>
      <c r="K172" s="389"/>
      <c r="L172" s="45"/>
      <c r="M172" s="10"/>
    </row>
    <row r="173" spans="2:20" ht="25" customHeight="1">
      <c r="B173" s="56" t="s">
        <v>150</v>
      </c>
      <c r="C173" s="110"/>
      <c r="D173" s="110"/>
      <c r="F173" s="110"/>
      <c r="G173" s="110"/>
      <c r="H173" s="110"/>
      <c r="I173" s="110"/>
      <c r="J173" s="110"/>
      <c r="K173" s="437"/>
      <c r="L173" s="110"/>
      <c r="M173" s="10"/>
      <c r="O173" s="183"/>
      <c r="P173" s="183"/>
      <c r="Q173" s="54"/>
      <c r="S173" s="41"/>
      <c r="T173" s="41"/>
    </row>
    <row r="174" spans="2:20" ht="25" customHeight="1">
      <c r="B174" s="161" t="s">
        <v>366</v>
      </c>
      <c r="M174" s="10"/>
    </row>
    <row r="175" spans="2:20" ht="25" customHeight="1">
      <c r="B175" s="252" t="s">
        <v>11</v>
      </c>
      <c r="C175" s="253"/>
      <c r="D175" s="163" t="s">
        <v>215</v>
      </c>
      <c r="E175" s="163"/>
      <c r="F175" s="163"/>
      <c r="G175" s="163"/>
      <c r="H175" s="163"/>
      <c r="I175" s="253" t="s">
        <v>358</v>
      </c>
      <c r="J175" s="253"/>
      <c r="K175" s="406" t="s">
        <v>359</v>
      </c>
      <c r="L175" s="181"/>
      <c r="M175" s="10"/>
      <c r="N175" s="183"/>
      <c r="O175" s="54"/>
      <c r="Q175" s="41"/>
      <c r="R175" s="41"/>
    </row>
    <row r="176" spans="2:20" ht="25" customHeight="1">
      <c r="B176" s="140" t="s">
        <v>153</v>
      </c>
      <c r="C176" s="254"/>
      <c r="D176" s="173" t="s">
        <v>247</v>
      </c>
      <c r="E176" s="277"/>
      <c r="F176" s="173"/>
      <c r="G176" s="277"/>
      <c r="H176" s="277"/>
      <c r="I176" s="263" t="s">
        <v>47</v>
      </c>
      <c r="J176" s="263"/>
      <c r="K176" s="409">
        <v>0</v>
      </c>
      <c r="L176" s="181"/>
      <c r="M176" s="10"/>
      <c r="N176" s="183"/>
      <c r="O176" s="54"/>
      <c r="Q176" s="41"/>
      <c r="R176" s="41"/>
    </row>
    <row r="177" spans="2:18" ht="25" customHeight="1">
      <c r="B177" s="145" t="s">
        <v>155</v>
      </c>
      <c r="C177" s="256"/>
      <c r="D177" s="178" t="s">
        <v>367</v>
      </c>
      <c r="E177" s="238"/>
      <c r="F177" s="257"/>
      <c r="G177" s="276"/>
      <c r="H177" s="276"/>
      <c r="I177" s="262" t="s">
        <v>368</v>
      </c>
      <c r="J177" s="262"/>
      <c r="K177" s="412" t="s">
        <v>369</v>
      </c>
      <c r="L177" s="181"/>
      <c r="M177" s="10"/>
      <c r="N177" s="183"/>
      <c r="O177" s="54"/>
      <c r="Q177" s="41"/>
      <c r="R177" s="41"/>
    </row>
    <row r="178" spans="2:18" ht="25" customHeight="1">
      <c r="B178" s="140" t="s">
        <v>159</v>
      </c>
      <c r="C178" s="254"/>
      <c r="D178" s="173" t="s">
        <v>370</v>
      </c>
      <c r="E178" s="254"/>
      <c r="F178" s="254"/>
      <c r="G178" s="254"/>
      <c r="H178" s="277"/>
      <c r="I178" s="532" t="s">
        <v>480</v>
      </c>
      <c r="J178" s="255"/>
      <c r="K178" s="409">
        <v>2140</v>
      </c>
      <c r="L178" s="181"/>
      <c r="M178" s="10"/>
      <c r="N178" s="183"/>
      <c r="O178" s="54"/>
      <c r="Q178" s="41"/>
      <c r="R178" s="41"/>
    </row>
    <row r="179" spans="2:18" ht="25" customHeight="1">
      <c r="B179" s="270"/>
      <c r="C179" s="271"/>
      <c r="D179" s="271"/>
      <c r="E179" s="272"/>
      <c r="F179" s="273"/>
      <c r="G179" s="274"/>
      <c r="H179" s="274"/>
      <c r="I179" s="284"/>
      <c r="J179" s="284"/>
      <c r="K179" s="436"/>
      <c r="L179" s="181"/>
      <c r="M179" s="10"/>
      <c r="N179" s="183"/>
      <c r="O179" s="54"/>
      <c r="Q179" s="41"/>
      <c r="R179" s="41"/>
    </row>
    <row r="180" spans="2:18" ht="25" customHeight="1">
      <c r="B180" s="145"/>
      <c r="C180" s="256"/>
      <c r="D180" s="178"/>
      <c r="E180" s="238"/>
      <c r="F180" s="257"/>
      <c r="G180" s="276"/>
      <c r="H180" s="276"/>
      <c r="I180" s="262"/>
      <c r="J180" s="262"/>
      <c r="K180" s="412"/>
      <c r="L180" s="181"/>
      <c r="M180" s="10"/>
      <c r="N180" s="183"/>
      <c r="O180" s="54"/>
      <c r="Q180" s="41"/>
      <c r="R180" s="41"/>
    </row>
    <row r="181" spans="2:18" s="63" customFormat="1" ht="25" hidden="1" customHeight="1">
      <c r="B181" s="56" t="s">
        <v>324</v>
      </c>
      <c r="C181" s="285"/>
      <c r="D181" s="285"/>
      <c r="F181" s="285"/>
      <c r="G181" s="285"/>
      <c r="H181" s="285"/>
      <c r="I181" s="286"/>
      <c r="J181" s="286"/>
      <c r="K181" s="438"/>
      <c r="L181" s="288"/>
      <c r="M181" s="10"/>
      <c r="N181" s="289"/>
      <c r="O181" s="290"/>
      <c r="Q181" s="290"/>
      <c r="R181" s="290"/>
    </row>
    <row r="182" spans="2:18" ht="25" hidden="1" customHeight="1">
      <c r="B182" s="161" t="s">
        <v>371</v>
      </c>
      <c r="M182" s="10"/>
    </row>
    <row r="183" spans="2:18" ht="25" hidden="1" customHeight="1">
      <c r="B183" s="252" t="s">
        <v>11</v>
      </c>
      <c r="C183" s="253"/>
      <c r="D183" s="163" t="s">
        <v>215</v>
      </c>
      <c r="E183" s="163"/>
      <c r="F183" s="163"/>
      <c r="G183" s="163"/>
      <c r="H183" s="163"/>
      <c r="I183" s="253" t="s">
        <v>358</v>
      </c>
      <c r="J183" s="253"/>
      <c r="K183" s="406" t="s">
        <v>359</v>
      </c>
      <c r="L183" s="181"/>
      <c r="M183" s="10"/>
      <c r="N183" s="183"/>
      <c r="O183" s="54"/>
      <c r="Q183" s="41"/>
      <c r="R183" s="41"/>
    </row>
    <row r="184" spans="2:18" ht="25" hidden="1" customHeight="1">
      <c r="B184" s="140" t="s">
        <v>164</v>
      </c>
      <c r="C184" s="254"/>
      <c r="D184" s="173" t="s">
        <v>165</v>
      </c>
      <c r="E184" s="277"/>
      <c r="F184" s="173"/>
      <c r="G184" s="277"/>
      <c r="H184" s="277"/>
      <c r="I184" s="255" t="s">
        <v>323</v>
      </c>
      <c r="J184" s="255"/>
      <c r="K184" s="409">
        <f>PS_consult.jun_EUR</f>
        <v>100.303</v>
      </c>
      <c r="L184" s="181"/>
      <c r="M184" s="10"/>
      <c r="N184" s="183"/>
      <c r="O184" s="54"/>
      <c r="Q184" s="41"/>
      <c r="R184" s="41"/>
    </row>
    <row r="185" spans="2:18" ht="25" hidden="1" customHeight="1">
      <c r="B185" s="145" t="s">
        <v>166</v>
      </c>
      <c r="C185" s="256"/>
      <c r="D185" s="178" t="s">
        <v>167</v>
      </c>
      <c r="E185" s="238"/>
      <c r="F185" s="257"/>
      <c r="G185" s="276"/>
      <c r="H185" s="276"/>
      <c r="I185" s="262" t="s">
        <v>323</v>
      </c>
      <c r="J185" s="262"/>
      <c r="K185" s="412">
        <f>PS_consult.sen_EUR</f>
        <v>122.28599999999999</v>
      </c>
      <c r="L185" s="181"/>
      <c r="M185" s="10"/>
      <c r="N185" s="183"/>
      <c r="O185" s="54"/>
      <c r="Q185" s="41"/>
      <c r="R185" s="41"/>
    </row>
    <row r="186" spans="2:18" ht="25" hidden="1" customHeight="1">
      <c r="B186" s="140" t="s">
        <v>168</v>
      </c>
      <c r="C186" s="254"/>
      <c r="D186" s="173" t="s">
        <v>169</v>
      </c>
      <c r="E186" s="277"/>
      <c r="F186" s="173"/>
      <c r="G186" s="277"/>
      <c r="H186" s="277"/>
      <c r="I186" s="255" t="s">
        <v>323</v>
      </c>
      <c r="J186" s="255"/>
      <c r="K186" s="409">
        <f>PS_cloudarch.jun_EUR</f>
        <v>113.65299999999999</v>
      </c>
      <c r="L186" s="181"/>
      <c r="M186" s="10"/>
      <c r="N186" s="183"/>
      <c r="O186" s="54"/>
      <c r="Q186" s="41"/>
      <c r="R186" s="41"/>
    </row>
    <row r="187" spans="2:18" ht="25" hidden="1" customHeight="1">
      <c r="B187" s="145" t="s">
        <v>170</v>
      </c>
      <c r="C187" s="256"/>
      <c r="D187" s="178" t="s">
        <v>171</v>
      </c>
      <c r="E187" s="178"/>
      <c r="F187" s="178"/>
      <c r="G187" s="276"/>
      <c r="H187" s="276"/>
      <c r="I187" s="262" t="s">
        <v>323</v>
      </c>
      <c r="J187" s="262"/>
      <c r="K187" s="412">
        <f>PS_cloudarch.sen_EUR</f>
        <v>122.28599999999999</v>
      </c>
      <c r="L187" s="181"/>
      <c r="M187" s="10"/>
      <c r="N187" s="183"/>
      <c r="O187" s="54"/>
      <c r="Q187" s="41"/>
      <c r="R187" s="41"/>
    </row>
    <row r="188" spans="2:18" ht="25" hidden="1" customHeight="1">
      <c r="B188" s="140" t="s">
        <v>172</v>
      </c>
      <c r="C188" s="254"/>
      <c r="D188" s="173" t="s">
        <v>173</v>
      </c>
      <c r="E188" s="277"/>
      <c r="F188" s="173"/>
      <c r="G188" s="277"/>
      <c r="H188" s="277"/>
      <c r="I188" s="255" t="s">
        <v>323</v>
      </c>
      <c r="J188" s="255"/>
      <c r="K188" s="409">
        <f>PS_pm.jun_EUR</f>
        <v>101.371</v>
      </c>
      <c r="L188" s="181"/>
      <c r="M188" s="10"/>
      <c r="N188" s="183"/>
      <c r="O188" s="54"/>
      <c r="Q188" s="41"/>
      <c r="R188" s="41"/>
    </row>
    <row r="189" spans="2:18" ht="25" hidden="1" customHeight="1">
      <c r="B189" s="145" t="s">
        <v>174</v>
      </c>
      <c r="C189" s="256"/>
      <c r="D189" s="178" t="s">
        <v>175</v>
      </c>
      <c r="E189" s="238"/>
      <c r="F189" s="257"/>
      <c r="G189" s="276"/>
      <c r="H189" s="276"/>
      <c r="I189" s="262" t="s">
        <v>323</v>
      </c>
      <c r="J189" s="262"/>
      <c r="K189" s="412">
        <f>PS_pm.sen_EUR</f>
        <v>122.28599999999999</v>
      </c>
      <c r="L189" s="181"/>
      <c r="M189" s="10"/>
      <c r="N189" s="183"/>
      <c r="O189" s="54"/>
      <c r="Q189" s="41"/>
      <c r="R189" s="41"/>
    </row>
    <row r="190" spans="2:18" ht="25" hidden="1" customHeight="1">
      <c r="B190" s="270"/>
      <c r="C190" s="271"/>
      <c r="D190" s="279"/>
      <c r="E190" s="272"/>
      <c r="F190" s="273"/>
      <c r="G190" s="274"/>
      <c r="H190" s="274"/>
      <c r="I190" s="284"/>
      <c r="J190" s="284"/>
      <c r="K190" s="436"/>
      <c r="L190" s="181"/>
      <c r="M190" s="10"/>
      <c r="N190" s="183"/>
      <c r="O190" s="54"/>
      <c r="Q190" s="41"/>
      <c r="R190" s="41"/>
    </row>
    <row r="191" spans="2:18" ht="25" hidden="1" customHeight="1">
      <c r="B191" s="145"/>
      <c r="C191" s="256"/>
      <c r="D191" s="178"/>
      <c r="E191" s="238"/>
      <c r="F191" s="257"/>
      <c r="G191" s="276"/>
      <c r="H191" s="276"/>
      <c r="I191" s="262"/>
      <c r="J191" s="262"/>
      <c r="K191" s="412"/>
      <c r="M191" s="10"/>
      <c r="N191" s="183"/>
      <c r="O191" s="54"/>
    </row>
    <row r="192" spans="2:18" ht="25" customHeight="1">
      <c r="B192" s="56" t="s">
        <v>372</v>
      </c>
      <c r="C192" s="110"/>
      <c r="D192" s="110"/>
      <c r="F192" s="110"/>
      <c r="G192" s="110"/>
      <c r="H192" s="110"/>
      <c r="I192" s="269"/>
      <c r="J192" s="269"/>
      <c r="L192" s="181"/>
      <c r="M192" s="10"/>
      <c r="N192" s="183"/>
      <c r="O192" s="54"/>
      <c r="Q192" s="41"/>
      <c r="R192" s="41"/>
    </row>
    <row r="193" spans="1:18" ht="25" customHeight="1">
      <c r="B193" s="161" t="s">
        <v>373</v>
      </c>
      <c r="M193" s="10"/>
    </row>
    <row r="194" spans="1:18" ht="25" customHeight="1">
      <c r="B194" s="252" t="s">
        <v>11</v>
      </c>
      <c r="C194" s="253"/>
      <c r="D194" s="163" t="s">
        <v>215</v>
      </c>
      <c r="E194" s="107"/>
      <c r="F194" s="163"/>
      <c r="G194" s="66" t="s">
        <v>374</v>
      </c>
      <c r="H194" s="253"/>
      <c r="I194" s="253" t="s">
        <v>358</v>
      </c>
      <c r="J194" s="253"/>
      <c r="K194" s="406" t="s">
        <v>109</v>
      </c>
      <c r="L194" s="181"/>
      <c r="M194" s="10"/>
      <c r="N194" s="183"/>
      <c r="O194" s="54"/>
      <c r="Q194" s="41"/>
      <c r="R194" s="41"/>
    </row>
    <row r="195" spans="1:18" ht="25" customHeight="1">
      <c r="B195" s="140" t="s">
        <v>179</v>
      </c>
      <c r="C195" s="254"/>
      <c r="D195" s="173" t="s">
        <v>375</v>
      </c>
      <c r="E195" s="277"/>
      <c r="F195" s="173"/>
      <c r="G195" s="277" t="s">
        <v>181</v>
      </c>
      <c r="H195" s="255"/>
      <c r="I195" s="255" t="s">
        <v>376</v>
      </c>
      <c r="J195" s="255"/>
      <c r="K195" s="409">
        <v>560</v>
      </c>
      <c r="L195" s="181"/>
      <c r="M195" s="10"/>
      <c r="N195" s="183"/>
      <c r="O195" s="54"/>
      <c r="Q195" s="41"/>
      <c r="R195" s="41"/>
    </row>
    <row r="196" spans="1:18" ht="25" customHeight="1">
      <c r="B196" s="145" t="s">
        <v>183</v>
      </c>
      <c r="C196" s="256"/>
      <c r="D196" s="178" t="s">
        <v>377</v>
      </c>
      <c r="E196" s="238"/>
      <c r="F196" s="257"/>
      <c r="G196" s="276" t="s">
        <v>181</v>
      </c>
      <c r="H196" s="262"/>
      <c r="I196" s="262" t="s">
        <v>376</v>
      </c>
      <c r="J196" s="262"/>
      <c r="K196" s="412">
        <v>560</v>
      </c>
      <c r="L196" s="181"/>
      <c r="M196" s="10"/>
      <c r="N196" s="183"/>
      <c r="O196" s="54"/>
      <c r="Q196" s="41"/>
      <c r="R196" s="41"/>
    </row>
    <row r="197" spans="1:18" ht="25" customHeight="1">
      <c r="B197" s="140" t="s">
        <v>185</v>
      </c>
      <c r="C197" s="254"/>
      <c r="D197" s="173" t="s">
        <v>378</v>
      </c>
      <c r="E197" s="277"/>
      <c r="F197" s="173"/>
      <c r="G197" s="277" t="s">
        <v>379</v>
      </c>
      <c r="H197" s="255"/>
      <c r="I197" s="255" t="s">
        <v>376</v>
      </c>
      <c r="J197" s="255"/>
      <c r="K197" s="409">
        <v>2230</v>
      </c>
      <c r="L197" s="181"/>
      <c r="M197" s="10"/>
      <c r="N197" s="183"/>
      <c r="O197" s="54"/>
      <c r="Q197" s="41"/>
      <c r="R197" s="41"/>
    </row>
    <row r="198" spans="1:18" ht="25" customHeight="1">
      <c r="B198" s="145" t="s">
        <v>188</v>
      </c>
      <c r="C198" s="256"/>
      <c r="D198" s="178" t="s">
        <v>262</v>
      </c>
      <c r="E198" s="238"/>
      <c r="F198" s="257"/>
      <c r="G198" s="276" t="s">
        <v>379</v>
      </c>
      <c r="H198" s="262"/>
      <c r="I198" s="262" t="s">
        <v>376</v>
      </c>
      <c r="J198" s="262"/>
      <c r="K198" s="412">
        <v>2230</v>
      </c>
      <c r="L198" s="181"/>
      <c r="M198" s="10"/>
      <c r="N198" s="183"/>
      <c r="O198" s="54"/>
      <c r="Q198" s="41"/>
      <c r="R198" s="41"/>
    </row>
    <row r="199" spans="1:18" ht="25" customHeight="1">
      <c r="B199" s="270"/>
      <c r="C199" s="271"/>
      <c r="D199" s="279"/>
      <c r="E199" s="272"/>
      <c r="F199" s="273"/>
      <c r="G199" s="274"/>
      <c r="H199" s="274"/>
      <c r="I199" s="274"/>
      <c r="J199" s="274"/>
      <c r="K199" s="436"/>
      <c r="L199" s="181"/>
      <c r="M199" s="10"/>
      <c r="N199" s="183"/>
      <c r="O199" s="54"/>
      <c r="Q199" s="41"/>
      <c r="R199" s="41"/>
    </row>
    <row r="200" spans="1:18" ht="25" customHeight="1">
      <c r="B200" s="281"/>
      <c r="C200" s="230"/>
      <c r="D200" s="230"/>
      <c r="E200" s="230"/>
      <c r="F200" s="231"/>
      <c r="G200" s="232"/>
      <c r="H200" s="181"/>
      <c r="I200" s="181"/>
      <c r="J200" s="181"/>
      <c r="K200" s="413"/>
      <c r="L200" s="183"/>
      <c r="M200" s="10"/>
      <c r="N200" s="41"/>
      <c r="O200" s="41"/>
    </row>
    <row r="201" spans="1:18" ht="25" customHeight="1">
      <c r="A201" s="234"/>
      <c r="B201" s="291"/>
      <c r="C201" s="292"/>
      <c r="D201" s="292"/>
      <c r="E201" s="292"/>
      <c r="F201" s="293"/>
      <c r="G201" s="294"/>
      <c r="H201" s="295"/>
      <c r="I201" s="295"/>
      <c r="J201" s="296"/>
      <c r="K201" s="439"/>
      <c r="L201" s="298"/>
      <c r="M201" s="10"/>
      <c r="N201" s="41"/>
      <c r="O201" s="41"/>
    </row>
    <row r="202" spans="1:18" s="20" customFormat="1" ht="25" customHeight="1">
      <c r="A202" s="21"/>
      <c r="B202" s="299"/>
      <c r="C202" s="300"/>
      <c r="D202" s="300"/>
      <c r="E202" s="300"/>
      <c r="F202" s="301"/>
      <c r="G202" s="302"/>
      <c r="H202" s="303"/>
      <c r="I202" s="303"/>
      <c r="J202" s="304"/>
      <c r="K202" s="440"/>
      <c r="L202" s="21"/>
      <c r="M202" s="10"/>
    </row>
    <row r="203" spans="1:18" s="20" customFormat="1" ht="25" customHeight="1">
      <c r="A203" s="21"/>
      <c r="B203" s="299"/>
      <c r="C203" s="300"/>
      <c r="D203" s="300"/>
      <c r="E203" s="300"/>
      <c r="F203" s="301"/>
      <c r="G203" s="302"/>
      <c r="H203" s="303"/>
      <c r="I203" s="303"/>
      <c r="J203" s="304"/>
      <c r="K203" s="440"/>
      <c r="L203" s="21"/>
      <c r="M203" s="10"/>
    </row>
    <row r="204" spans="1:18" s="20" customFormat="1" ht="25" customHeight="1">
      <c r="A204" s="21"/>
      <c r="B204" s="299"/>
      <c r="C204" s="300"/>
      <c r="D204" s="300"/>
      <c r="E204" s="300"/>
      <c r="F204" s="301"/>
      <c r="G204" s="302"/>
      <c r="H204" s="303"/>
      <c r="I204" s="303"/>
      <c r="J204" s="304"/>
      <c r="K204" s="440"/>
      <c r="L204" s="21"/>
      <c r="M204" s="10"/>
    </row>
    <row r="205" spans="1:18" s="20" customFormat="1" ht="25" customHeight="1">
      <c r="A205" s="21"/>
      <c r="B205" s="549" t="s">
        <v>380</v>
      </c>
      <c r="C205" s="549"/>
      <c r="D205" s="549"/>
      <c r="E205" s="549"/>
      <c r="F205" s="549"/>
      <c r="G205" s="549"/>
      <c r="H205" s="25"/>
      <c r="I205" s="134"/>
      <c r="J205" s="21"/>
      <c r="K205" s="386"/>
      <c r="L205" s="21"/>
      <c r="M205" s="10"/>
    </row>
    <row r="206" spans="1:18" s="20" customFormat="1" ht="25" customHeight="1">
      <c r="A206" s="21"/>
      <c r="B206" s="549"/>
      <c r="C206" s="549"/>
      <c r="D206" s="549"/>
      <c r="E206" s="549"/>
      <c r="F206" s="549"/>
      <c r="G206" s="549"/>
      <c r="H206" s="25"/>
      <c r="I206" s="134"/>
      <c r="J206" s="21"/>
      <c r="K206" s="386"/>
      <c r="L206" s="21"/>
      <c r="M206" s="10"/>
    </row>
    <row r="207" spans="1:18" s="20" customFormat="1" ht="25" customHeight="1">
      <c r="A207" s="21"/>
      <c r="B207" s="549"/>
      <c r="C207" s="549"/>
      <c r="D207" s="549"/>
      <c r="E207" s="549"/>
      <c r="F207" s="549"/>
      <c r="G207" s="549"/>
      <c r="H207" s="25"/>
      <c r="I207" s="134"/>
      <c r="J207" s="21"/>
      <c r="K207" s="386"/>
      <c r="L207" s="21"/>
      <c r="M207" s="10"/>
    </row>
    <row r="208" spans="1:18" s="20" customFormat="1" ht="25" customHeight="1">
      <c r="A208" s="21"/>
      <c r="B208" s="306" t="s">
        <v>331</v>
      </c>
      <c r="C208" s="313"/>
      <c r="D208" s="313"/>
      <c r="E208" s="313"/>
      <c r="F208" s="313"/>
      <c r="G208" s="21"/>
      <c r="H208" s="25"/>
      <c r="I208" s="134"/>
      <c r="J208" s="21"/>
      <c r="K208" s="386"/>
      <c r="L208" s="307"/>
      <c r="M208" s="10"/>
    </row>
    <row r="209" spans="1:20" s="20" customFormat="1" ht="25" customHeight="1">
      <c r="A209" s="21"/>
      <c r="B209" s="22"/>
      <c r="C209" s="23"/>
      <c r="D209" s="23"/>
      <c r="E209" s="23"/>
      <c r="F209" s="23"/>
      <c r="G209" s="21"/>
      <c r="H209" s="25"/>
      <c r="I209" s="134"/>
      <c r="J209" s="21"/>
      <c r="K209" s="386"/>
      <c r="L209" s="307"/>
      <c r="M209" s="10"/>
    </row>
    <row r="210" spans="1:20" s="20" customFormat="1" ht="25" customHeight="1">
      <c r="A210" s="21"/>
      <c r="B210" s="15" t="s">
        <v>381</v>
      </c>
      <c r="C210" s="23"/>
      <c r="D210" s="23"/>
      <c r="E210" s="23"/>
      <c r="F210" s="23"/>
      <c r="G210" s="21"/>
      <c r="H210" s="25"/>
      <c r="I210" s="134"/>
      <c r="J210" s="21"/>
      <c r="K210" s="386"/>
      <c r="L210" s="307"/>
      <c r="M210" s="10"/>
    </row>
    <row r="211" spans="1:20" s="20" customFormat="1" ht="25" customHeight="1">
      <c r="A211" s="21"/>
      <c r="B211" s="17" t="s">
        <v>328</v>
      </c>
      <c r="C211" s="23"/>
      <c r="D211" s="23"/>
      <c r="E211" s="23"/>
      <c r="F211" s="23"/>
      <c r="G211" s="21"/>
      <c r="H211" s="25"/>
      <c r="I211" s="21"/>
      <c r="J211" s="27"/>
      <c r="K211" s="386"/>
      <c r="L211" s="307"/>
      <c r="M211" s="10"/>
    </row>
    <row r="212" spans="1:20" s="20" customFormat="1" ht="25" customHeight="1">
      <c r="A212" s="21"/>
      <c r="B212" s="18" t="s">
        <v>4</v>
      </c>
      <c r="C212" s="308"/>
      <c r="D212" s="308"/>
      <c r="E212" s="308"/>
      <c r="F212" s="308"/>
      <c r="G212" s="307"/>
      <c r="H212" s="309"/>
      <c r="I212" s="307"/>
      <c r="J212" s="310"/>
      <c r="K212" s="441"/>
      <c r="L212" s="307"/>
      <c r="M212" s="10"/>
    </row>
    <row r="213" spans="1:20" s="127" customFormat="1" ht="25" customHeight="1">
      <c r="A213" s="312"/>
      <c r="B213" s="306"/>
      <c r="C213" s="313"/>
      <c r="D213" s="313"/>
      <c r="E213" s="313"/>
      <c r="F213" s="313"/>
      <c r="G213" s="307"/>
      <c r="H213" s="309"/>
      <c r="I213" s="307"/>
      <c r="J213" s="310"/>
      <c r="K213" s="441"/>
      <c r="L213" s="312"/>
      <c r="M213" s="10"/>
      <c r="N213" s="314"/>
      <c r="O213" s="162"/>
      <c r="P213" s="162"/>
      <c r="Q213" s="162"/>
      <c r="R213" s="162"/>
      <c r="S213" s="162"/>
      <c r="T213" s="162"/>
    </row>
    <row r="214" spans="1:20" ht="25" customHeight="1">
      <c r="A214" s="5"/>
      <c r="B214" s="315" t="s">
        <v>192</v>
      </c>
      <c r="C214" s="316"/>
      <c r="D214" s="317"/>
      <c r="E214" s="316"/>
      <c r="F214" s="318"/>
      <c r="G214" s="318"/>
      <c r="H214" s="318"/>
      <c r="I214" s="316"/>
      <c r="J214" s="318" t="s">
        <v>380</v>
      </c>
      <c r="K214" s="442"/>
      <c r="L214" s="320"/>
      <c r="M214" s="10"/>
      <c r="N214" s="246"/>
    </row>
    <row r="215" spans="1:20" ht="25" customHeight="1">
      <c r="A215" s="5"/>
      <c r="B215" s="321" t="s">
        <v>193</v>
      </c>
      <c r="C215" s="322" t="str">
        <f t="array" ref="C215">SUM(I26:I37*C26:C37)+SUM(I47:I56*b2_list_Antal_instanser)+SUM(I62:I65*C62:C65)+SUM(I72:I74*C72:C74)&amp;" vCPU"&amp;"     /     "&amp;SUM(I26:I37*E26)+SUM(b2_list_vCPU*b2_list_ram)+SUM(I62:I65*D62:D65)+SUM(I72:I74*D72:D74)&amp;" GB RAM"&amp;"     /     "&amp;SUM(I26:I37*E26:E37)+SUM(b2_list_vCPU*E47:E56)+SUM(I62:I65*E62:E65)+SUM(I72:I74*E72:E74)&amp;" GB  NVMe"&amp;"     /     "&amp;SUM(I81:I83)&amp;" GB Blocklagring"</f>
        <v>0 vCPU     /     0 GB RAM     /     0 GB  NVMe     /     0 GB Blocklagring</v>
      </c>
      <c r="D215" s="323"/>
      <c r="E215" s="322"/>
      <c r="F215" s="322"/>
      <c r="G215" s="324"/>
      <c r="H215" s="325"/>
      <c r="I215" s="323"/>
      <c r="J215" s="443">
        <f>K66+K75+K57+K40+K84</f>
        <v>0</v>
      </c>
      <c r="K215" s="409"/>
      <c r="L215" s="5"/>
      <c r="M215" s="10"/>
      <c r="N215" s="246"/>
    </row>
    <row r="216" spans="1:20" ht="25" customHeight="1">
      <c r="A216" s="5"/>
      <c r="B216" s="327" t="s">
        <v>194</v>
      </c>
      <c r="C216" s="328" t="str">
        <f>K96&amp;" TB - S3"&amp;"     /     "&amp;K95&amp;" TB - Archive"</f>
        <v>0 TB - S3     /     0 TB - Archive</v>
      </c>
      <c r="D216" s="329"/>
      <c r="E216" s="329"/>
      <c r="F216" s="330"/>
      <c r="G216" s="331"/>
      <c r="H216" s="331"/>
      <c r="I216" s="332"/>
      <c r="J216" s="444">
        <f>K97</f>
        <v>0</v>
      </c>
      <c r="K216" s="409"/>
      <c r="L216" s="5"/>
      <c r="M216" s="10"/>
      <c r="N216" s="246"/>
    </row>
    <row r="217" spans="1:20" ht="25" customHeight="1">
      <c r="A217" s="5"/>
      <c r="B217" s="327" t="s">
        <v>195</v>
      </c>
      <c r="C217" s="334"/>
      <c r="D217" s="335"/>
      <c r="E217" s="336"/>
      <c r="F217" s="330"/>
      <c r="G217" s="331"/>
      <c r="H217" s="331"/>
      <c r="I217" s="332"/>
      <c r="J217" s="444">
        <f>K121</f>
        <v>0</v>
      </c>
      <c r="K217" s="409"/>
      <c r="L217" s="5"/>
      <c r="M217" s="10"/>
      <c r="N217" s="246"/>
    </row>
    <row r="218" spans="1:20" s="337" customFormat="1" ht="25" customHeight="1">
      <c r="A218" s="338"/>
      <c r="B218" s="445" t="s">
        <v>277</v>
      </c>
      <c r="C218" s="446"/>
      <c r="D218" s="446"/>
      <c r="E218" s="446"/>
      <c r="F218" s="446"/>
      <c r="G218" s="446"/>
      <c r="H218" s="446"/>
      <c r="I218" s="446"/>
      <c r="J218" s="447">
        <f>SUM(J215:J217)</f>
        <v>0</v>
      </c>
      <c r="K218" s="448"/>
      <c r="L218" s="338"/>
      <c r="M218" s="10"/>
    </row>
    <row r="219" spans="1:20" ht="25" customHeight="1">
      <c r="A219" s="5"/>
      <c r="B219" s="343"/>
      <c r="C219" s="344"/>
      <c r="D219" s="344"/>
      <c r="E219" s="344"/>
      <c r="F219" s="345"/>
      <c r="G219" s="346"/>
      <c r="H219" s="346"/>
      <c r="I219" s="347"/>
      <c r="J219" s="347"/>
      <c r="K219" s="449"/>
      <c r="L219" s="5"/>
      <c r="M219" s="10"/>
    </row>
    <row r="220" spans="1:20" ht="25" customHeight="1">
      <c r="A220" s="5"/>
      <c r="B220" s="14"/>
      <c r="C220" s="173"/>
      <c r="D220" s="349"/>
      <c r="E220" s="261"/>
      <c r="F220" s="277"/>
      <c r="G220" s="350"/>
      <c r="H220" s="173"/>
      <c r="I220" s="351"/>
      <c r="J220" s="352"/>
      <c r="K220" s="409"/>
      <c r="L220" s="5"/>
      <c r="M220" s="10"/>
    </row>
    <row r="221" spans="1:20" ht="25" customHeight="1">
      <c r="A221" s="353"/>
      <c r="B221" s="354"/>
      <c r="C221" s="212"/>
      <c r="D221" s="242"/>
      <c r="E221" s="355"/>
      <c r="F221" s="356"/>
      <c r="G221" s="357"/>
      <c r="H221" s="212"/>
      <c r="I221" s="358"/>
      <c r="J221" s="359"/>
      <c r="K221" s="417"/>
      <c r="L221" s="360"/>
      <c r="M221" s="10"/>
    </row>
    <row r="222" spans="1:20" s="361" customFormat="1" ht="25" customHeight="1">
      <c r="B222" s="362"/>
      <c r="C222" s="363"/>
      <c r="D222" s="364"/>
      <c r="E222" s="365"/>
      <c r="F222" s="366"/>
      <c r="G222" s="367"/>
      <c r="H222" s="363"/>
      <c r="I222" s="368"/>
      <c r="J222" s="369"/>
      <c r="K222" s="450"/>
    </row>
    <row r="223" spans="1:20" s="361" customFormat="1" ht="25" customHeight="1">
      <c r="B223" s="371" t="s">
        <v>382</v>
      </c>
      <c r="C223" s="363"/>
      <c r="D223" s="363"/>
      <c r="E223" s="363"/>
      <c r="F223" s="372"/>
      <c r="G223" s="373"/>
      <c r="H223" s="374"/>
      <c r="I223" s="374"/>
      <c r="J223" s="374"/>
      <c r="K223" s="450"/>
      <c r="L223" s="369"/>
      <c r="M223" s="369"/>
      <c r="N223" s="369"/>
    </row>
    <row r="224" spans="1:20" s="361" customFormat="1" ht="25" customHeight="1">
      <c r="B224" s="371" t="s">
        <v>383</v>
      </c>
      <c r="C224" s="363"/>
      <c r="D224" s="363"/>
      <c r="E224" s="363"/>
      <c r="F224" s="372"/>
      <c r="G224" s="373"/>
      <c r="H224" s="374"/>
      <c r="I224" s="374"/>
      <c r="J224" s="374"/>
      <c r="K224" s="450"/>
      <c r="L224" s="369"/>
      <c r="M224" s="369"/>
      <c r="N224" s="369"/>
    </row>
    <row r="225" spans="1:23" s="361" customFormat="1" ht="25" customHeight="1">
      <c r="B225" s="376" t="s">
        <v>384</v>
      </c>
      <c r="C225" s="363"/>
      <c r="D225" s="363"/>
      <c r="E225" s="363"/>
      <c r="F225" s="372"/>
      <c r="G225" s="373"/>
      <c r="H225" s="374"/>
      <c r="I225" s="374"/>
      <c r="J225" s="374"/>
      <c r="K225" s="450"/>
      <c r="L225" s="369"/>
      <c r="M225" s="369"/>
      <c r="N225" s="369"/>
    </row>
    <row r="226" spans="1:23" s="361" customFormat="1" ht="25" customHeight="1">
      <c r="B226" s="371" t="s">
        <v>385</v>
      </c>
      <c r="C226" s="363"/>
      <c r="D226" s="363"/>
      <c r="E226" s="363"/>
      <c r="F226" s="372"/>
      <c r="G226" s="373"/>
      <c r="H226" s="374"/>
      <c r="I226" s="374"/>
      <c r="J226" s="374"/>
      <c r="K226" s="450"/>
      <c r="L226" s="369"/>
      <c r="M226" s="369"/>
      <c r="N226" s="369"/>
    </row>
    <row r="227" spans="1:23" s="361" customFormat="1" ht="25" customHeight="1">
      <c r="B227" s="371" t="s">
        <v>386</v>
      </c>
      <c r="C227" s="363"/>
      <c r="D227" s="363"/>
      <c r="E227" s="363"/>
      <c r="F227" s="372"/>
      <c r="G227" s="373"/>
      <c r="H227" s="374"/>
      <c r="I227" s="374"/>
      <c r="J227" s="374"/>
      <c r="K227" s="450"/>
      <c r="L227" s="369"/>
      <c r="M227" s="369"/>
      <c r="N227" s="369"/>
    </row>
    <row r="228" spans="1:23" s="361" customFormat="1" ht="25" customHeight="1">
      <c r="B228" s="362"/>
      <c r="C228" s="363"/>
      <c r="D228" s="363"/>
      <c r="E228" s="363"/>
      <c r="F228" s="372"/>
      <c r="G228" s="373"/>
      <c r="H228" s="374"/>
      <c r="I228" s="374"/>
      <c r="J228" s="374"/>
      <c r="K228" s="450"/>
      <c r="L228" s="369"/>
      <c r="M228" s="369"/>
      <c r="N228" s="369"/>
    </row>
    <row r="229" spans="1:23" s="361" customFormat="1" ht="25" customHeight="1">
      <c r="B229" s="362"/>
      <c r="C229" s="363"/>
      <c r="D229" s="363"/>
      <c r="E229" s="363"/>
      <c r="F229" s="372"/>
      <c r="G229" s="373"/>
      <c r="H229" s="374"/>
      <c r="I229" s="374"/>
      <c r="J229" s="374"/>
      <c r="K229" s="450"/>
      <c r="L229" s="369"/>
      <c r="M229" s="369"/>
      <c r="N229" s="369"/>
    </row>
    <row r="230" spans="1:23" s="361" customFormat="1" ht="25" customHeight="1">
      <c r="B230" s="362"/>
      <c r="C230" s="363"/>
      <c r="D230" s="363"/>
      <c r="E230" s="363"/>
      <c r="F230" s="372"/>
      <c r="G230" s="373"/>
      <c r="H230" s="374"/>
      <c r="I230" s="374"/>
      <c r="J230" s="374"/>
      <c r="K230" s="450"/>
      <c r="L230" s="369"/>
      <c r="M230" s="369"/>
      <c r="N230" s="369"/>
    </row>
    <row r="231" spans="1:23" s="361" customFormat="1" ht="25" customHeight="1">
      <c r="B231" s="362"/>
      <c r="C231" s="363"/>
      <c r="D231" s="363"/>
      <c r="E231" s="363"/>
      <c r="F231" s="372"/>
      <c r="G231" s="373"/>
      <c r="H231" s="374"/>
      <c r="I231" s="374"/>
      <c r="J231" s="374"/>
      <c r="K231" s="450"/>
      <c r="L231" s="369"/>
      <c r="M231" s="369"/>
      <c r="N231" s="369"/>
    </row>
    <row r="232" spans="1:23" s="377" customFormat="1" ht="25" customHeight="1">
      <c r="A232" s="361"/>
      <c r="B232" s="362"/>
      <c r="C232" s="363"/>
      <c r="D232" s="363"/>
      <c r="E232" s="363"/>
      <c r="F232" s="372"/>
      <c r="G232" s="373"/>
      <c r="H232" s="374"/>
      <c r="I232" s="374"/>
      <c r="J232" s="374"/>
      <c r="K232" s="450"/>
      <c r="L232" s="369"/>
      <c r="M232" s="369"/>
      <c r="N232" s="369"/>
      <c r="O232" s="361"/>
      <c r="P232" s="361"/>
      <c r="Q232" s="361"/>
      <c r="R232" s="361"/>
      <c r="S232" s="361"/>
      <c r="T232" s="361"/>
      <c r="U232" s="361"/>
      <c r="V232" s="361"/>
      <c r="W232" s="361"/>
    </row>
    <row r="233" spans="1:23" s="361" customFormat="1" ht="25" customHeight="1">
      <c r="B233" s="362"/>
      <c r="C233" s="363"/>
      <c r="D233" s="363"/>
      <c r="E233" s="363"/>
      <c r="F233" s="372"/>
      <c r="G233" s="373"/>
      <c r="H233" s="374"/>
      <c r="I233" s="374"/>
      <c r="J233" s="374"/>
      <c r="K233" s="450"/>
      <c r="L233" s="369"/>
      <c r="M233" s="369"/>
      <c r="N233" s="369"/>
    </row>
    <row r="234" spans="1:23" s="361" customFormat="1" ht="25" customHeight="1">
      <c r="B234" s="362"/>
      <c r="C234" s="363"/>
      <c r="D234" s="363"/>
      <c r="E234" s="363"/>
      <c r="F234" s="372"/>
      <c r="G234" s="373"/>
      <c r="H234" s="374"/>
      <c r="I234" s="374"/>
      <c r="J234" s="374"/>
      <c r="K234" s="450"/>
      <c r="L234" s="369"/>
      <c r="M234" s="369"/>
      <c r="N234" s="369"/>
    </row>
    <row r="235" spans="1:23" s="361" customFormat="1" ht="25" customHeight="1">
      <c r="B235" s="362"/>
      <c r="C235" s="363"/>
      <c r="D235" s="363"/>
      <c r="E235" s="363"/>
      <c r="F235" s="372"/>
      <c r="G235" s="373"/>
      <c r="H235" s="374"/>
      <c r="I235" s="374"/>
      <c r="J235" s="374"/>
      <c r="K235" s="450"/>
      <c r="L235" s="369"/>
      <c r="M235" s="369"/>
      <c r="N235" s="369"/>
    </row>
    <row r="236" spans="1:23" s="361" customFormat="1" ht="25" customHeight="1">
      <c r="B236" s="362"/>
      <c r="C236" s="363"/>
      <c r="D236" s="363"/>
      <c r="E236" s="363"/>
      <c r="F236" s="372"/>
      <c r="G236" s="373"/>
      <c r="H236" s="374"/>
      <c r="I236" s="374"/>
      <c r="J236" s="374"/>
      <c r="K236" s="450"/>
      <c r="L236" s="369"/>
      <c r="M236" s="369"/>
      <c r="N236" s="369"/>
    </row>
    <row r="237" spans="1:23" s="361" customFormat="1" ht="25" customHeight="1">
      <c r="B237" s="362"/>
      <c r="C237" s="363"/>
      <c r="D237" s="363"/>
      <c r="E237" s="363"/>
      <c r="F237" s="372"/>
      <c r="G237" s="373"/>
      <c r="H237" s="374"/>
      <c r="I237" s="374"/>
      <c r="J237" s="374"/>
      <c r="K237" s="450"/>
      <c r="L237" s="369"/>
      <c r="M237" s="369"/>
      <c r="N237" s="369"/>
    </row>
    <row r="238" spans="1:23" s="361" customFormat="1" ht="25" customHeight="1">
      <c r="B238" s="362"/>
      <c r="C238" s="363"/>
      <c r="D238" s="363"/>
      <c r="E238" s="363"/>
      <c r="F238" s="372"/>
      <c r="G238" s="373"/>
      <c r="H238" s="374"/>
      <c r="I238" s="374"/>
      <c r="J238" s="374"/>
      <c r="K238" s="450"/>
      <c r="L238" s="369"/>
      <c r="M238" s="369"/>
      <c r="N238" s="369"/>
    </row>
    <row r="239" spans="1:23" s="361" customFormat="1" ht="25" customHeight="1">
      <c r="B239" s="362"/>
      <c r="C239" s="363"/>
      <c r="D239" s="363"/>
      <c r="E239" s="363"/>
      <c r="F239" s="372"/>
      <c r="G239" s="373"/>
      <c r="H239" s="374"/>
      <c r="I239" s="374"/>
      <c r="J239" s="374"/>
      <c r="K239" s="450"/>
      <c r="L239" s="369"/>
      <c r="M239" s="369"/>
      <c r="N239" s="369"/>
    </row>
    <row r="240" spans="1:23" s="361" customFormat="1" ht="25" customHeight="1">
      <c r="B240" s="362"/>
      <c r="C240" s="363"/>
      <c r="D240" s="363"/>
      <c r="E240" s="363"/>
      <c r="F240" s="372"/>
      <c r="G240" s="373"/>
      <c r="H240" s="374"/>
      <c r="I240" s="374"/>
      <c r="J240" s="374"/>
      <c r="K240" s="450"/>
      <c r="L240" s="369"/>
      <c r="M240" s="369"/>
      <c r="N240" s="369"/>
    </row>
    <row r="241" spans="2:14" s="361" customFormat="1" ht="25" customHeight="1">
      <c r="B241" s="362"/>
      <c r="C241" s="363"/>
      <c r="D241" s="363"/>
      <c r="E241" s="363"/>
      <c r="F241" s="372"/>
      <c r="G241" s="373"/>
      <c r="H241" s="374"/>
      <c r="I241" s="374"/>
      <c r="J241" s="374"/>
      <c r="K241" s="450"/>
      <c r="L241" s="369"/>
      <c r="M241" s="369"/>
      <c r="N241" s="369"/>
    </row>
    <row r="242" spans="2:14" s="361" customFormat="1" ht="25" customHeight="1">
      <c r="B242" s="362"/>
      <c r="C242" s="363"/>
      <c r="D242" s="363"/>
      <c r="E242" s="363"/>
      <c r="F242" s="372"/>
      <c r="G242" s="373"/>
      <c r="H242" s="374"/>
      <c r="I242" s="374"/>
      <c r="J242" s="374"/>
      <c r="K242" s="450"/>
      <c r="L242" s="369"/>
      <c r="M242" s="369"/>
      <c r="N242" s="369"/>
    </row>
    <row r="243" spans="2:14" s="361" customFormat="1" ht="25" customHeight="1">
      <c r="B243" s="362"/>
      <c r="C243" s="363"/>
      <c r="D243" s="363"/>
      <c r="E243" s="363"/>
      <c r="F243" s="372"/>
      <c r="G243" s="373"/>
      <c r="H243" s="374"/>
      <c r="I243" s="374"/>
      <c r="J243" s="374"/>
      <c r="K243" s="450"/>
      <c r="L243" s="369"/>
      <c r="M243" s="369"/>
      <c r="N243" s="369"/>
    </row>
    <row r="244" spans="2:14" s="361" customFormat="1" ht="25" customHeight="1">
      <c r="B244" s="362"/>
      <c r="C244" s="363"/>
      <c r="D244" s="363"/>
      <c r="E244" s="363"/>
      <c r="F244" s="372"/>
      <c r="G244" s="373"/>
      <c r="H244" s="374"/>
      <c r="I244" s="374"/>
      <c r="J244" s="374"/>
      <c r="K244" s="450"/>
      <c r="L244" s="369"/>
      <c r="M244" s="369"/>
      <c r="N244" s="369"/>
    </row>
    <row r="245" spans="2:14" s="361" customFormat="1" ht="25" customHeight="1">
      <c r="B245" s="362"/>
      <c r="C245" s="363"/>
      <c r="D245" s="363"/>
      <c r="E245" s="363"/>
      <c r="F245" s="372"/>
      <c r="G245" s="373"/>
      <c r="H245" s="374"/>
      <c r="I245" s="374"/>
      <c r="J245" s="374"/>
      <c r="K245" s="450"/>
      <c r="L245" s="369"/>
      <c r="M245" s="369"/>
      <c r="N245" s="369"/>
    </row>
    <row r="246" spans="2:14" s="361" customFormat="1" ht="25" customHeight="1">
      <c r="B246" s="362"/>
      <c r="C246" s="363"/>
      <c r="D246" s="363"/>
      <c r="E246" s="363"/>
      <c r="F246" s="372"/>
      <c r="G246" s="373"/>
      <c r="H246" s="374"/>
      <c r="I246" s="374"/>
      <c r="J246" s="374"/>
      <c r="K246" s="450"/>
      <c r="L246" s="369"/>
      <c r="M246" s="369"/>
      <c r="N246" s="369"/>
    </row>
    <row r="247" spans="2:14" s="361" customFormat="1" ht="25" customHeight="1">
      <c r="B247" s="362"/>
      <c r="C247" s="363"/>
      <c r="D247" s="363"/>
      <c r="E247" s="363"/>
      <c r="F247" s="372"/>
      <c r="G247" s="373"/>
      <c r="H247" s="374"/>
      <c r="I247" s="374"/>
      <c r="J247" s="374"/>
      <c r="K247" s="450"/>
      <c r="L247" s="369"/>
      <c r="M247" s="369"/>
      <c r="N247" s="369"/>
    </row>
    <row r="248" spans="2:14" s="361" customFormat="1" ht="25" customHeight="1">
      <c r="B248" s="362"/>
      <c r="C248" s="363"/>
      <c r="D248" s="363"/>
      <c r="E248" s="363"/>
      <c r="F248" s="372"/>
      <c r="G248" s="373"/>
      <c r="H248" s="374"/>
      <c r="I248" s="374"/>
      <c r="J248" s="374"/>
      <c r="K248" s="450"/>
      <c r="L248" s="369"/>
      <c r="M248" s="369"/>
      <c r="N248" s="369"/>
    </row>
    <row r="249" spans="2:14" s="361" customFormat="1" ht="25" customHeight="1">
      <c r="B249" s="362"/>
      <c r="C249" s="363"/>
      <c r="D249" s="363"/>
      <c r="E249" s="363"/>
      <c r="F249" s="372"/>
      <c r="G249" s="373"/>
      <c r="H249" s="374"/>
      <c r="I249" s="374"/>
      <c r="J249" s="374"/>
      <c r="K249" s="450"/>
      <c r="L249" s="369"/>
      <c r="M249" s="369"/>
      <c r="N249" s="369"/>
    </row>
    <row r="250" spans="2:14" s="361" customFormat="1" ht="25" customHeight="1">
      <c r="B250" s="362"/>
      <c r="C250" s="363"/>
      <c r="D250" s="363"/>
      <c r="E250" s="363"/>
      <c r="F250" s="372"/>
      <c r="G250" s="373"/>
      <c r="H250" s="374"/>
      <c r="I250" s="374"/>
      <c r="J250" s="374"/>
      <c r="K250" s="450"/>
      <c r="L250" s="369"/>
      <c r="M250" s="369"/>
      <c r="N250" s="369"/>
    </row>
    <row r="251" spans="2:14" s="361" customFormat="1" ht="25" customHeight="1">
      <c r="B251" s="362"/>
      <c r="C251" s="363"/>
      <c r="D251" s="363"/>
      <c r="E251" s="363"/>
      <c r="F251" s="372"/>
      <c r="G251" s="373"/>
      <c r="H251" s="374"/>
      <c r="I251" s="374"/>
      <c r="J251" s="374"/>
      <c r="K251" s="450"/>
      <c r="L251" s="369"/>
      <c r="M251" s="369"/>
      <c r="N251" s="369"/>
    </row>
    <row r="252" spans="2:14" s="361" customFormat="1" ht="25" customHeight="1">
      <c r="B252" s="362"/>
      <c r="K252" s="450"/>
      <c r="M252" s="378"/>
    </row>
    <row r="253" spans="2:14" s="361" customFormat="1" ht="25" customHeight="1">
      <c r="B253" s="362"/>
      <c r="K253" s="450"/>
      <c r="M253" s="378"/>
    </row>
    <row r="254" spans="2:14" s="361" customFormat="1" ht="25" customHeight="1">
      <c r="B254" s="362"/>
      <c r="K254" s="450"/>
      <c r="M254" s="378"/>
    </row>
    <row r="255" spans="2:14" s="361" customFormat="1" ht="25" customHeight="1">
      <c r="B255" s="362"/>
      <c r="K255" s="450"/>
      <c r="M255" s="378"/>
    </row>
    <row r="256" spans="2:14" s="361" customFormat="1" ht="25" customHeight="1">
      <c r="B256" s="362"/>
      <c r="K256" s="450"/>
      <c r="M256" s="378"/>
    </row>
    <row r="257" spans="2:13" s="361" customFormat="1" ht="25" customHeight="1">
      <c r="B257" s="362"/>
      <c r="K257" s="450"/>
      <c r="M257" s="378"/>
    </row>
    <row r="258" spans="2:13" s="361" customFormat="1" ht="25" customHeight="1">
      <c r="B258" s="362"/>
      <c r="K258" s="450"/>
      <c r="M258" s="378"/>
    </row>
    <row r="259" spans="2:13" s="361" customFormat="1" ht="25" customHeight="1">
      <c r="B259" s="362"/>
      <c r="K259" s="450"/>
      <c r="M259" s="378"/>
    </row>
    <row r="260" spans="2:13" s="361" customFormat="1" ht="25" customHeight="1">
      <c r="B260" s="362"/>
      <c r="K260" s="450"/>
      <c r="M260" s="378"/>
    </row>
    <row r="261" spans="2:13" s="361" customFormat="1" ht="25" customHeight="1">
      <c r="B261" s="362"/>
      <c r="K261" s="450"/>
      <c r="M261" s="378"/>
    </row>
    <row r="262" spans="2:13" s="361" customFormat="1" ht="25" customHeight="1">
      <c r="B262" s="362"/>
      <c r="K262" s="450"/>
      <c r="M262" s="378"/>
    </row>
    <row r="263" spans="2:13" s="361" customFormat="1" ht="25" customHeight="1">
      <c r="B263" s="362"/>
      <c r="K263" s="450"/>
      <c r="M263" s="378"/>
    </row>
    <row r="264" spans="2:13" s="361" customFormat="1" ht="25" customHeight="1">
      <c r="B264" s="362"/>
      <c r="K264" s="450"/>
      <c r="M264" s="378"/>
    </row>
    <row r="265" spans="2:13" s="361" customFormat="1" ht="25" customHeight="1">
      <c r="B265" s="362"/>
      <c r="K265" s="450"/>
      <c r="M265" s="378"/>
    </row>
    <row r="266" spans="2:13" s="361" customFormat="1" ht="25" customHeight="1">
      <c r="B266" s="362"/>
      <c r="K266" s="450"/>
      <c r="M266" s="378"/>
    </row>
    <row r="267" spans="2:13" s="361" customFormat="1" ht="25" customHeight="1">
      <c r="B267" s="362"/>
      <c r="K267" s="450"/>
      <c r="M267" s="378"/>
    </row>
    <row r="268" spans="2:13" s="361" customFormat="1" ht="25" customHeight="1">
      <c r="B268" s="362"/>
      <c r="K268" s="450"/>
      <c r="M268" s="378"/>
    </row>
    <row r="269" spans="2:13" s="361" customFormat="1" ht="25" customHeight="1">
      <c r="B269" s="362"/>
      <c r="K269" s="450"/>
      <c r="M269" s="378"/>
    </row>
    <row r="270" spans="2:13" s="361" customFormat="1" ht="25" customHeight="1">
      <c r="B270" s="362"/>
      <c r="K270" s="450"/>
      <c r="M270" s="378"/>
    </row>
    <row r="271" spans="2:13" s="361" customFormat="1" ht="25" customHeight="1">
      <c r="B271" s="362"/>
      <c r="K271" s="450"/>
      <c r="M271" s="378"/>
    </row>
    <row r="272" spans="2:13" s="361" customFormat="1" ht="25" customHeight="1">
      <c r="B272" s="362"/>
      <c r="K272" s="450"/>
      <c r="M272" s="378"/>
    </row>
    <row r="273" spans="2:13" s="361" customFormat="1" ht="25" customHeight="1">
      <c r="B273" s="362"/>
      <c r="K273" s="450"/>
      <c r="M273" s="378"/>
    </row>
    <row r="274" spans="2:13" s="361" customFormat="1" ht="25" customHeight="1">
      <c r="B274" s="362"/>
      <c r="K274" s="450"/>
      <c r="M274" s="378"/>
    </row>
    <row r="275" spans="2:13" s="361" customFormat="1" ht="25" customHeight="1">
      <c r="B275" s="362"/>
      <c r="K275" s="450"/>
      <c r="M275" s="378"/>
    </row>
    <row r="276" spans="2:13" s="361" customFormat="1" ht="25" customHeight="1">
      <c r="B276" s="362"/>
      <c r="K276" s="450"/>
      <c r="M276" s="378"/>
    </row>
    <row r="277" spans="2:13" s="361" customFormat="1" ht="25" customHeight="1">
      <c r="B277" s="362"/>
      <c r="K277" s="450"/>
      <c r="M277" s="378"/>
    </row>
    <row r="278" spans="2:13" s="361" customFormat="1" ht="25" customHeight="1">
      <c r="B278" s="362"/>
      <c r="K278" s="450"/>
      <c r="M278" s="378"/>
    </row>
    <row r="279" spans="2:13" s="361" customFormat="1" ht="25" customHeight="1">
      <c r="B279" s="362"/>
      <c r="K279" s="450"/>
      <c r="M279" s="378"/>
    </row>
    <row r="280" spans="2:13" s="361" customFormat="1" ht="25" customHeight="1">
      <c r="B280" s="362"/>
      <c r="K280" s="450"/>
      <c r="M280" s="378"/>
    </row>
    <row r="281" spans="2:13" s="361" customFormat="1" ht="25" customHeight="1">
      <c r="B281" s="362"/>
      <c r="K281" s="450"/>
      <c r="M281" s="378"/>
    </row>
    <row r="282" spans="2:13" s="361" customFormat="1" ht="25" customHeight="1">
      <c r="B282" s="362"/>
      <c r="K282" s="450"/>
      <c r="M282" s="378"/>
    </row>
    <row r="283" spans="2:13" s="361" customFormat="1" ht="25" customHeight="1">
      <c r="B283" s="362"/>
      <c r="K283" s="450"/>
      <c r="M283" s="378"/>
    </row>
    <row r="284" spans="2:13" s="361" customFormat="1" ht="25" customHeight="1">
      <c r="B284" s="362"/>
      <c r="K284" s="450"/>
      <c r="M284" s="378"/>
    </row>
    <row r="285" spans="2:13" s="361" customFormat="1" ht="25" customHeight="1">
      <c r="B285" s="362"/>
      <c r="K285" s="450"/>
      <c r="M285" s="378"/>
    </row>
    <row r="286" spans="2:13" s="361" customFormat="1" ht="25" customHeight="1">
      <c r="B286" s="362"/>
      <c r="K286" s="450"/>
      <c r="M286" s="378"/>
    </row>
    <row r="287" spans="2:13" s="361" customFormat="1" ht="25" customHeight="1">
      <c r="B287" s="362"/>
      <c r="K287" s="450"/>
      <c r="M287" s="378"/>
    </row>
    <row r="288" spans="2:13" s="361" customFormat="1" ht="25" customHeight="1">
      <c r="B288" s="362"/>
      <c r="K288" s="450"/>
      <c r="M288" s="378"/>
    </row>
    <row r="289" spans="2:13" s="361" customFormat="1" ht="25" customHeight="1">
      <c r="B289" s="362"/>
      <c r="K289" s="450"/>
      <c r="M289" s="378"/>
    </row>
    <row r="290" spans="2:13" s="361" customFormat="1" ht="25" customHeight="1">
      <c r="B290" s="362"/>
      <c r="K290" s="450"/>
      <c r="M290" s="378"/>
    </row>
    <row r="291" spans="2:13" s="361" customFormat="1" ht="25" customHeight="1">
      <c r="B291" s="362"/>
      <c r="K291" s="450"/>
      <c r="M291" s="378"/>
    </row>
    <row r="292" spans="2:13" s="361" customFormat="1" ht="25" customHeight="1">
      <c r="B292" s="362"/>
      <c r="K292" s="450"/>
      <c r="M292" s="378"/>
    </row>
    <row r="293" spans="2:13" s="361" customFormat="1" ht="25" customHeight="1">
      <c r="B293" s="362"/>
      <c r="K293" s="450"/>
      <c r="M293" s="378"/>
    </row>
    <row r="294" spans="2:13" s="361" customFormat="1" ht="25" customHeight="1">
      <c r="B294" s="362"/>
      <c r="K294" s="450"/>
      <c r="M294" s="378"/>
    </row>
    <row r="295" spans="2:13" s="361" customFormat="1" ht="25" customHeight="1">
      <c r="B295" s="362"/>
      <c r="K295" s="450"/>
      <c r="M295" s="378"/>
    </row>
    <row r="296" spans="2:13" s="361" customFormat="1" ht="25" customHeight="1">
      <c r="B296" s="362"/>
      <c r="K296" s="450"/>
      <c r="M296" s="378"/>
    </row>
    <row r="297" spans="2:13" s="361" customFormat="1" ht="25" customHeight="1">
      <c r="B297" s="362"/>
      <c r="K297" s="450"/>
      <c r="M297" s="378"/>
    </row>
    <row r="298" spans="2:13" s="361" customFormat="1" ht="25" customHeight="1">
      <c r="B298" s="362"/>
      <c r="K298" s="450"/>
      <c r="M298" s="378"/>
    </row>
    <row r="299" spans="2:13" s="361" customFormat="1" ht="25" customHeight="1">
      <c r="B299" s="362"/>
      <c r="K299" s="450"/>
      <c r="M299" s="378"/>
    </row>
    <row r="300" spans="2:13" s="361" customFormat="1" ht="25" customHeight="1">
      <c r="B300" s="362"/>
      <c r="K300" s="450"/>
      <c r="M300" s="378"/>
    </row>
    <row r="301" spans="2:13" s="361" customFormat="1" ht="25" customHeight="1">
      <c r="B301" s="362"/>
      <c r="K301" s="450"/>
      <c r="M301" s="378"/>
    </row>
    <row r="302" spans="2:13" s="361" customFormat="1" ht="25" customHeight="1">
      <c r="B302" s="362"/>
      <c r="K302" s="450"/>
      <c r="M302" s="378"/>
    </row>
    <row r="314" spans="2:4" ht="25" customHeight="1">
      <c r="B314" s="379"/>
      <c r="C314" s="178"/>
      <c r="D314" s="149"/>
    </row>
  </sheetData>
  <mergeCells count="36">
    <mergeCell ref="B167:G169"/>
    <mergeCell ref="B170:F170"/>
    <mergeCell ref="B205:G207"/>
    <mergeCell ref="C133:D133"/>
    <mergeCell ref="E133:F133"/>
    <mergeCell ref="C134:D134"/>
    <mergeCell ref="E134:F134"/>
    <mergeCell ref="B139:G141"/>
    <mergeCell ref="B110:G112"/>
    <mergeCell ref="B125:G127"/>
    <mergeCell ref="C132:D132"/>
    <mergeCell ref="E132:F132"/>
    <mergeCell ref="G132:H132"/>
    <mergeCell ref="D105:E105"/>
    <mergeCell ref="F105:G105"/>
    <mergeCell ref="H105:I105"/>
    <mergeCell ref="D106:E106"/>
    <mergeCell ref="F106:G106"/>
    <mergeCell ref="H106:I106"/>
    <mergeCell ref="D103:E103"/>
    <mergeCell ref="F103:G103"/>
    <mergeCell ref="H103:I103"/>
    <mergeCell ref="D104:E104"/>
    <mergeCell ref="F104:G104"/>
    <mergeCell ref="H104:I104"/>
    <mergeCell ref="D100:E100"/>
    <mergeCell ref="F100:G100"/>
    <mergeCell ref="H100:I100"/>
    <mergeCell ref="D102:E102"/>
    <mergeCell ref="F102:G102"/>
    <mergeCell ref="H102:I102"/>
    <mergeCell ref="B4:C4"/>
    <mergeCell ref="B15:G17"/>
    <mergeCell ref="B60:E60"/>
    <mergeCell ref="B70:E70"/>
    <mergeCell ref="B87:G89"/>
  </mergeCells>
  <conditionalFormatting sqref="I26:I39 K26:K39 I47:I56 K47:K56 I62:I65 K62:K65 I72:I74 K72:K74 I81:I83 K81:K83 I95:I96 K95:K96 I118:I120 K118:K120 J119:J120">
    <cfRule type="cellIs" dxfId="11" priority="1" operator="greaterThan">
      <formula>0</formula>
    </cfRule>
  </conditionalFormatting>
  <hyperlinks>
    <hyperlink ref="B10:C10" r:id="rId1" display="hello@safespring.com" xr:uid="{00000000-0004-0000-0500-000000000000}"/>
    <hyperlink ref="B10" r:id="rId2" xr:uid="{00000000-0004-0000-0500-000001000000}"/>
    <hyperlink ref="B60" location="'SEK - Safesprings tjänster 2022'!I83" display="Central blocklagring kan köpas till insatserna. Se &quot;Central blocklagring&quot; i prislistan." xr:uid="{00000000-0004-0000-0500-000002000000}"/>
    <hyperlink ref="B60:E60" location="'SEK - Safesprings tjänster 2022'!I81" display="Central blocklagring kan köpas till insatserna. Se &quot;Central blocklagring&quot; i prislistan." xr:uid="{00000000-0004-0000-0500-000003000000}"/>
    <hyperlink ref="B70" location="'SEK - Safesprings tjänster 2022'!I83" display="Central blocklagring kan köpas till insatserna. Se &quot;Central blocklagring&quot; i prislistan." xr:uid="{00000000-0004-0000-0500-000004000000}"/>
    <hyperlink ref="B70:E70" location="'SEK - Safesprings tjänster 2022'!I81" display="Central blocklagring kan köpas till insatserna. Se &quot;Central blocklagring&quot; i prislistan." xr:uid="{00000000-0004-0000-0500-000005000000}"/>
    <hyperlink ref="B212" r:id="rId3" xr:uid="{00000000-0004-0000-0500-000006000000}"/>
  </hyperlinks>
  <pageMargins left="0" right="0" top="0" bottom="0" header="0" footer="0"/>
  <pageSetup paperSize="9" scale="17" orientation="portrait"/>
  <headerFooter>
    <oddFooter>&amp;C&amp;P av &amp;N</oddFooter>
  </headerFooter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314"/>
  <sheetViews>
    <sheetView showGridLines="0" zoomScale="120" workbookViewId="0"/>
  </sheetViews>
  <sheetFormatPr baseColWidth="10" defaultColWidth="15" defaultRowHeight="25" customHeight="1"/>
  <cols>
    <col min="1" max="1" width="11.83203125" style="1" bestFit="1" customWidth="1"/>
    <col min="2" max="2" width="30.83203125" style="2" bestFit="1" customWidth="1"/>
    <col min="3" max="10" width="14.83203125" style="1" bestFit="1" customWidth="1"/>
    <col min="11" max="11" width="14.83203125" style="383" bestFit="1" customWidth="1"/>
    <col min="12" max="12" width="14.83203125" style="1" bestFit="1" customWidth="1"/>
    <col min="13" max="13" width="14.83203125" style="4" bestFit="1" customWidth="1"/>
    <col min="14" max="14" width="14.83203125" style="1" bestFit="1" customWidth="1"/>
    <col min="15" max="15" width="15" style="1" bestFit="1"/>
    <col min="16" max="16" width="15" style="1" bestFit="1" customWidth="1"/>
    <col min="17" max="17" width="15" style="1" bestFit="1"/>
    <col min="18" max="16384" width="15" style="1"/>
  </cols>
  <sheetData>
    <row r="1" spans="1:26" ht="25" customHeight="1">
      <c r="A1" s="5"/>
      <c r="B1" s="6"/>
      <c r="C1" s="7"/>
      <c r="D1" s="5"/>
      <c r="E1" s="5"/>
      <c r="F1" s="5"/>
      <c r="G1" s="5"/>
      <c r="H1" s="5"/>
      <c r="I1" s="5"/>
      <c r="J1" s="5"/>
      <c r="K1" s="384"/>
      <c r="L1" s="9"/>
      <c r="M1" s="10"/>
    </row>
    <row r="2" spans="1:26" ht="25" customHeight="1">
      <c r="A2" s="5"/>
      <c r="B2" s="6"/>
      <c r="C2" s="7"/>
      <c r="D2" s="5"/>
      <c r="E2" s="5"/>
      <c r="F2" s="5"/>
      <c r="G2" s="5"/>
      <c r="H2" s="5"/>
      <c r="I2" s="5"/>
      <c r="J2" s="5"/>
      <c r="K2" s="384"/>
      <c r="L2" s="9"/>
      <c r="M2" s="10"/>
    </row>
    <row r="3" spans="1:26" ht="25" customHeight="1">
      <c r="A3" s="5"/>
      <c r="B3" s="6"/>
      <c r="C3" s="7"/>
      <c r="D3" s="5"/>
      <c r="E3" s="5"/>
      <c r="F3" s="5"/>
      <c r="G3" s="5"/>
      <c r="H3" s="5"/>
      <c r="I3" s="5"/>
      <c r="J3" s="5"/>
      <c r="K3" s="384"/>
      <c r="L3" s="9"/>
      <c r="M3" s="10"/>
    </row>
    <row r="4" spans="1:26" ht="25" customHeight="1">
      <c r="A4" s="5"/>
      <c r="B4" s="533"/>
      <c r="C4" s="533"/>
      <c r="D4" s="5"/>
      <c r="E4" s="5"/>
      <c r="F4" s="5"/>
      <c r="G4" s="5"/>
      <c r="H4" s="5"/>
      <c r="I4" s="5"/>
      <c r="J4" s="5"/>
      <c r="K4" s="384"/>
      <c r="L4" s="9"/>
      <c r="M4" s="10"/>
    </row>
    <row r="5" spans="1:26" ht="25" customHeight="1">
      <c r="A5" s="5"/>
      <c r="B5" s="11" t="s">
        <v>387</v>
      </c>
      <c r="C5" s="12"/>
      <c r="D5" s="5"/>
      <c r="E5" s="5"/>
      <c r="F5" s="5"/>
      <c r="G5" s="5"/>
      <c r="H5" s="5"/>
      <c r="I5" s="5"/>
      <c r="J5" s="5"/>
      <c r="K5" s="384"/>
      <c r="L5" s="9"/>
      <c r="M5" s="10"/>
    </row>
    <row r="6" spans="1:26" ht="25" customHeight="1">
      <c r="A6" s="5"/>
      <c r="B6" s="13"/>
      <c r="C6" s="7"/>
      <c r="D6" s="5"/>
      <c r="E6" s="5"/>
      <c r="F6" s="5"/>
      <c r="G6" s="5"/>
      <c r="H6" s="5"/>
      <c r="I6" s="5"/>
      <c r="J6" s="5"/>
      <c r="K6" s="384"/>
      <c r="L6" s="9"/>
      <c r="M6" s="10"/>
    </row>
    <row r="7" spans="1:26" ht="25" customHeight="1">
      <c r="A7" s="5"/>
      <c r="B7" s="14"/>
      <c r="C7" s="7"/>
      <c r="D7" s="5"/>
      <c r="E7" s="5"/>
      <c r="F7" s="5"/>
      <c r="G7" s="5"/>
      <c r="H7" s="5"/>
      <c r="I7" s="5"/>
      <c r="J7" s="5"/>
      <c r="K7" s="384"/>
      <c r="L7" s="9"/>
      <c r="M7" s="10"/>
    </row>
    <row r="8" spans="1:26" ht="25" customHeight="1">
      <c r="A8" s="5"/>
      <c r="B8" s="15" t="s">
        <v>271</v>
      </c>
      <c r="C8" s="7"/>
      <c r="D8" s="16" t="s">
        <v>272</v>
      </c>
      <c r="E8" s="5"/>
      <c r="F8" s="5"/>
      <c r="G8" s="5"/>
      <c r="H8" s="5"/>
      <c r="I8" s="5"/>
      <c r="J8" s="5"/>
      <c r="K8" s="384"/>
      <c r="L8" s="9"/>
      <c r="M8" s="10"/>
    </row>
    <row r="9" spans="1:26" ht="25" customHeight="1">
      <c r="A9" s="5"/>
      <c r="B9" s="17" t="s">
        <v>388</v>
      </c>
      <c r="C9" s="7"/>
      <c r="D9" s="5"/>
      <c r="E9" s="5"/>
      <c r="F9" s="5"/>
      <c r="G9" s="5"/>
      <c r="H9" s="5"/>
      <c r="I9" s="5"/>
      <c r="J9" s="5"/>
      <c r="K9" s="384"/>
      <c r="L9" s="9"/>
      <c r="M9" s="10"/>
    </row>
    <row r="10" spans="1:26" ht="25" customHeight="1">
      <c r="A10" s="5"/>
      <c r="B10" s="18" t="s">
        <v>4</v>
      </c>
      <c r="C10" s="19"/>
      <c r="D10" s="5"/>
      <c r="E10" s="5"/>
      <c r="F10" s="5"/>
      <c r="G10" s="5"/>
      <c r="H10" s="5"/>
      <c r="I10" s="5"/>
      <c r="J10" s="5"/>
      <c r="K10" s="384"/>
      <c r="L10" s="9"/>
      <c r="M10" s="10"/>
    </row>
    <row r="11" spans="1:26" s="20" customFormat="1" ht="25" customHeight="1">
      <c r="A11" s="21"/>
      <c r="B11" s="22"/>
      <c r="C11" s="23"/>
      <c r="D11" s="21"/>
      <c r="E11" s="21"/>
      <c r="F11" s="21"/>
      <c r="G11" s="24"/>
      <c r="H11" s="24"/>
      <c r="I11" s="25"/>
      <c r="J11" s="21"/>
      <c r="K11" s="386"/>
      <c r="L11" s="27"/>
      <c r="M11" s="10"/>
    </row>
    <row r="12" spans="1:26" s="20" customFormat="1" ht="25" customHeight="1">
      <c r="A12" s="28"/>
      <c r="B12" s="29"/>
      <c r="C12" s="30"/>
      <c r="D12" s="28"/>
      <c r="E12" s="28"/>
      <c r="F12" s="28"/>
      <c r="G12" s="31"/>
      <c r="H12" s="31"/>
      <c r="I12" s="32"/>
      <c r="J12" s="28"/>
      <c r="K12" s="387"/>
      <c r="L12" s="34"/>
      <c r="M12" s="10"/>
    </row>
    <row r="13" spans="1:26" s="20" customFormat="1" ht="25" customHeight="1">
      <c r="B13" s="35"/>
      <c r="G13" s="36"/>
      <c r="H13" s="36"/>
      <c r="I13" s="37"/>
      <c r="K13" s="388"/>
      <c r="L13" s="39"/>
      <c r="M13" s="10"/>
    </row>
    <row r="14" spans="1:26" s="20" customFormat="1" ht="25" customHeight="1">
      <c r="B14" s="35"/>
      <c r="G14" s="36"/>
      <c r="H14" s="36"/>
      <c r="I14" s="37"/>
      <c r="K14" s="388"/>
      <c r="L14" s="39"/>
      <c r="M14" s="10"/>
    </row>
    <row r="15" spans="1:26" s="20" customFormat="1" ht="25" customHeight="1">
      <c r="B15" s="534" t="s">
        <v>204</v>
      </c>
      <c r="C15" s="534"/>
      <c r="D15" s="534"/>
      <c r="E15" s="534"/>
      <c r="F15" s="534"/>
      <c r="G15" s="534"/>
      <c r="H15" s="37"/>
      <c r="J15" s="40"/>
      <c r="K15" s="388"/>
      <c r="L15" s="39"/>
      <c r="M15" s="10"/>
      <c r="S15" s="41"/>
      <c r="X15" s="41"/>
      <c r="Y15" s="41"/>
      <c r="Z15" s="41"/>
    </row>
    <row r="16" spans="1:26" s="20" customFormat="1" ht="25" customHeight="1">
      <c r="B16" s="534"/>
      <c r="C16" s="534"/>
      <c r="D16" s="534"/>
      <c r="E16" s="534"/>
      <c r="F16" s="534"/>
      <c r="G16" s="534"/>
      <c r="H16" s="37"/>
      <c r="J16" s="40"/>
      <c r="K16" s="388"/>
      <c r="L16" s="39"/>
      <c r="M16" s="10"/>
      <c r="S16" s="41"/>
      <c r="X16" s="41"/>
      <c r="Y16" s="41"/>
      <c r="Z16" s="41"/>
    </row>
    <row r="17" spans="2:26" s="20" customFormat="1" ht="25" customHeight="1">
      <c r="B17" s="534"/>
      <c r="C17" s="534"/>
      <c r="D17" s="534"/>
      <c r="E17" s="534"/>
      <c r="F17" s="534"/>
      <c r="G17" s="534"/>
      <c r="H17" s="37"/>
      <c r="J17" s="40"/>
      <c r="K17" s="388"/>
      <c r="L17" s="39"/>
      <c r="M17" s="10"/>
      <c r="S17" s="41"/>
      <c r="X17" s="41"/>
      <c r="Y17" s="41"/>
      <c r="Z17" s="41"/>
    </row>
    <row r="18" spans="2:26" s="20" customFormat="1" ht="25" customHeight="1">
      <c r="B18" s="42" t="s">
        <v>389</v>
      </c>
      <c r="C18" s="43"/>
      <c r="D18" s="43"/>
      <c r="E18" s="43"/>
      <c r="F18" s="43"/>
      <c r="H18" s="37"/>
      <c r="J18" s="40"/>
      <c r="K18" s="388"/>
      <c r="L18" s="39"/>
      <c r="M18" s="10"/>
      <c r="S18" s="41"/>
      <c r="T18" s="41"/>
      <c r="U18" s="41"/>
      <c r="V18" s="41"/>
      <c r="W18" s="41"/>
      <c r="X18" s="41"/>
      <c r="Y18" s="41"/>
      <c r="Z18" s="41"/>
    </row>
    <row r="19" spans="2:26" s="20" customFormat="1" ht="25" customHeight="1">
      <c r="B19" s="44" t="s">
        <v>273</v>
      </c>
      <c r="C19" s="44"/>
      <c r="D19" s="44"/>
      <c r="E19" s="44"/>
      <c r="F19" s="44"/>
      <c r="G19" s="45"/>
      <c r="H19" s="46"/>
      <c r="J19" s="47"/>
      <c r="K19" s="389"/>
      <c r="L19" s="49"/>
      <c r="M19" s="10"/>
      <c r="S19" s="41"/>
      <c r="T19" s="41"/>
      <c r="U19" s="41"/>
      <c r="V19" s="41"/>
      <c r="W19" s="41"/>
      <c r="X19" s="41"/>
      <c r="Y19" s="41"/>
      <c r="Z19" s="41"/>
    </row>
    <row r="20" spans="2:26" s="20" customFormat="1" ht="25" customHeight="1">
      <c r="B20" s="380" t="s">
        <v>349</v>
      </c>
      <c r="C20" s="51"/>
      <c r="D20" s="51"/>
      <c r="E20" s="52"/>
      <c r="F20" s="52"/>
      <c r="G20" s="45"/>
      <c r="H20" s="46"/>
      <c r="I20" s="45"/>
      <c r="J20" s="47"/>
      <c r="K20" s="389"/>
      <c r="L20" s="191"/>
      <c r="M20" s="10"/>
      <c r="O20" s="41"/>
      <c r="P20" s="41"/>
    </row>
    <row r="21" spans="2:26" s="20" customFormat="1" ht="25" customHeight="1">
      <c r="B21" s="44"/>
      <c r="C21" s="52"/>
      <c r="D21" s="52"/>
      <c r="E21" s="52"/>
      <c r="F21" s="52"/>
      <c r="G21" s="45"/>
      <c r="H21" s="46"/>
      <c r="I21" s="45"/>
      <c r="J21" s="47"/>
      <c r="K21" s="389"/>
      <c r="L21" s="49"/>
      <c r="M21" s="10"/>
      <c r="P21" s="1"/>
      <c r="Q21" s="1"/>
      <c r="R21" s="1"/>
      <c r="S21" s="41"/>
      <c r="T21" s="41"/>
      <c r="U21" s="41"/>
      <c r="V21" s="41"/>
      <c r="W21" s="41"/>
      <c r="X21" s="41"/>
      <c r="Y21" s="53"/>
      <c r="Z21" s="41"/>
    </row>
    <row r="22" spans="2:26" s="20" customFormat="1" ht="25" customHeight="1">
      <c r="B22" s="44"/>
      <c r="C22" s="52"/>
      <c r="D22" s="52"/>
      <c r="E22" s="52"/>
      <c r="F22" s="52"/>
      <c r="G22" s="45"/>
      <c r="H22" s="46"/>
      <c r="I22" s="45"/>
      <c r="J22" s="47"/>
      <c r="K22" s="389"/>
      <c r="L22" s="49"/>
      <c r="M22" s="10"/>
      <c r="P22" s="1"/>
      <c r="Q22" s="1"/>
      <c r="R22" s="1"/>
      <c r="S22" s="41"/>
      <c r="T22" s="41"/>
      <c r="U22" s="41"/>
      <c r="V22" s="41"/>
      <c r="W22" s="41"/>
      <c r="X22" s="41"/>
      <c r="Y22" s="53"/>
      <c r="Z22" s="41"/>
    </row>
    <row r="23" spans="2:26" s="55" customFormat="1" ht="25" customHeight="1">
      <c r="B23" s="56" t="s">
        <v>390</v>
      </c>
      <c r="C23" s="57"/>
      <c r="D23" s="57"/>
      <c r="E23" s="57"/>
      <c r="F23" s="57"/>
      <c r="G23" s="57"/>
      <c r="H23" s="58"/>
      <c r="I23" s="59"/>
      <c r="J23" s="59"/>
      <c r="K23" s="390"/>
      <c r="M23" s="10"/>
      <c r="P23" s="61"/>
      <c r="Q23" s="61"/>
      <c r="R23" s="62"/>
    </row>
    <row r="24" spans="2:26" ht="25" customHeight="1">
      <c r="B24" s="161" t="s">
        <v>391</v>
      </c>
      <c r="C24" s="161"/>
      <c r="D24" s="161"/>
      <c r="E24" s="161"/>
      <c r="F24" s="161"/>
      <c r="M24" s="10"/>
    </row>
    <row r="25" spans="2:26" s="63" customFormat="1" ht="25" customHeight="1">
      <c r="B25" s="64" t="s">
        <v>274</v>
      </c>
      <c r="C25" s="65" t="s">
        <v>12</v>
      </c>
      <c r="D25" s="65" t="s">
        <v>35</v>
      </c>
      <c r="E25" s="66" t="s">
        <v>392</v>
      </c>
      <c r="F25" s="66" t="s">
        <v>275</v>
      </c>
      <c r="G25" s="66" t="s">
        <v>393</v>
      </c>
      <c r="H25" s="65"/>
      <c r="I25" s="67" t="s">
        <v>394</v>
      </c>
      <c r="J25" s="65"/>
      <c r="K25" s="391" t="s">
        <v>276</v>
      </c>
      <c r="M25" s="10"/>
      <c r="N25" s="1"/>
      <c r="O25" s="1"/>
      <c r="P25" s="53"/>
      <c r="Q25" s="53"/>
      <c r="R25" s="69"/>
    </row>
    <row r="26" spans="2:26" s="41" customFormat="1" ht="25" customHeight="1">
      <c r="B26" s="70" t="str">
        <f>'SEK - Safesprings tjänster 2024'!B26</f>
        <v>FLAVOR-l2. c2 r4. 100</v>
      </c>
      <c r="C26" s="71">
        <f>'SEK - Safesprings tjänster 2024'!C26</f>
        <v>2</v>
      </c>
      <c r="D26" s="71">
        <f>'SEK - Safesprings tjänster 2024'!D26</f>
        <v>4</v>
      </c>
      <c r="E26" s="72">
        <f>'SEK - Safesprings tjänster 2024'!E26</f>
        <v>100</v>
      </c>
      <c r="F26" s="392">
        <f t="shared" ref="F26:F56" si="0">G26/720</f>
        <v>5.9333333333333321E-2</v>
      </c>
      <c r="G26" s="392">
        <f t="shared" ref="G26:G39" si="1">C26*IAAS_vcpu_EUR+D26*IAAS_ram_EUR+E26*IAAS_nvme_EUR</f>
        <v>42.719999999999992</v>
      </c>
      <c r="H26" s="23"/>
      <c r="I26" s="75"/>
      <c r="J26" s="23"/>
      <c r="K26" s="393">
        <f t="shared" ref="K26:K39" si="2">ROUNDUP(I26*G26,2)</f>
        <v>0</v>
      </c>
      <c r="M26" s="10"/>
      <c r="P26" s="53"/>
      <c r="R26" s="53"/>
    </row>
    <row r="27" spans="2:26" s="41" customFormat="1" ht="25" customHeight="1">
      <c r="B27" s="77" t="str">
        <f>'SEK - Safesprings tjänster 2024'!B27</f>
        <v>FLAVOR-l2. c2 r4. 500</v>
      </c>
      <c r="C27" s="78">
        <f>'SEK - Safesprings tjänster 2024'!C27</f>
        <v>2</v>
      </c>
      <c r="D27" s="78">
        <f>'SEK - Safesprings tjänster 2024'!D27</f>
        <v>4</v>
      </c>
      <c r="E27" s="79">
        <f>'SEK - Safesprings tjänster 2024'!E27</f>
        <v>500</v>
      </c>
      <c r="F27" s="394">
        <f t="shared" si="0"/>
        <v>0.10877777777777776</v>
      </c>
      <c r="G27" s="394">
        <f t="shared" si="1"/>
        <v>78.319999999999993</v>
      </c>
      <c r="H27" s="82"/>
      <c r="I27" s="75"/>
      <c r="J27" s="82"/>
      <c r="K27" s="395">
        <f t="shared" si="2"/>
        <v>0</v>
      </c>
      <c r="M27" s="10"/>
      <c r="P27" s="53"/>
      <c r="R27" s="53"/>
    </row>
    <row r="28" spans="2:26" s="41" customFormat="1" ht="25" customHeight="1">
      <c r="B28" s="70" t="str">
        <f>'SEK - Safesprings tjänster 2024'!B28</f>
        <v>FLAVOR-l2. c2 r4. 1000</v>
      </c>
      <c r="C28" s="71">
        <f>'SEK - Safesprings tjänster 2024'!C28</f>
        <v>2</v>
      </c>
      <c r="D28" s="71">
        <f>'SEK - Safesprings tjänster 2024'!D28</f>
        <v>4</v>
      </c>
      <c r="E28" s="72">
        <f>'SEK - Safesprings tjänster 2024'!E28</f>
        <v>1000</v>
      </c>
      <c r="F28" s="392">
        <f t="shared" si="0"/>
        <v>0.17058333333333334</v>
      </c>
      <c r="G28" s="392">
        <f t="shared" si="1"/>
        <v>122.82</v>
      </c>
      <c r="H28" s="23"/>
      <c r="I28" s="75"/>
      <c r="J28" s="23"/>
      <c r="K28" s="393">
        <f t="shared" si="2"/>
        <v>0</v>
      </c>
      <c r="M28" s="10"/>
      <c r="P28" s="53"/>
      <c r="R28" s="53"/>
    </row>
    <row r="29" spans="2:26" s="41" customFormat="1" ht="25" customHeight="1">
      <c r="B29" s="77" t="str">
        <f>'SEK - Safesprings tjänster 2024'!B29</f>
        <v>FLAVOR-l2. c4 r8. 100</v>
      </c>
      <c r="C29" s="78">
        <f>'SEK - Safesprings tjänster 2024'!C29</f>
        <v>4</v>
      </c>
      <c r="D29" s="78">
        <f>'SEK - Safesprings tjänster 2024'!D29</f>
        <v>8</v>
      </c>
      <c r="E29" s="79">
        <f>'SEK - Safesprings tjänster 2024'!E29</f>
        <v>100</v>
      </c>
      <c r="F29" s="394">
        <f t="shared" si="0"/>
        <v>0.10630555555555554</v>
      </c>
      <c r="G29" s="394">
        <f t="shared" si="1"/>
        <v>76.539999999999992</v>
      </c>
      <c r="H29" s="82"/>
      <c r="I29" s="75"/>
      <c r="J29" s="82"/>
      <c r="K29" s="395">
        <f t="shared" si="2"/>
        <v>0</v>
      </c>
      <c r="M29" s="10"/>
      <c r="P29" s="53"/>
      <c r="R29" s="53"/>
    </row>
    <row r="30" spans="2:26" s="41" customFormat="1" ht="25" customHeight="1">
      <c r="B30" s="70" t="str">
        <f>'SEK - Safesprings tjänster 2024'!B30</f>
        <v>FLAVOR-l2. c4 r8. 500</v>
      </c>
      <c r="C30" s="71">
        <f>'SEK - Safesprings tjänster 2024'!C30</f>
        <v>4</v>
      </c>
      <c r="D30" s="71">
        <f>'SEK - Safesprings tjänster 2024'!D30</f>
        <v>8</v>
      </c>
      <c r="E30" s="72">
        <f>'SEK - Safesprings tjänster 2024'!E30</f>
        <v>500</v>
      </c>
      <c r="F30" s="392">
        <f t="shared" si="0"/>
        <v>0.15574999999999997</v>
      </c>
      <c r="G30" s="392">
        <f t="shared" si="1"/>
        <v>112.13999999999999</v>
      </c>
      <c r="H30" s="23"/>
      <c r="I30" s="75"/>
      <c r="J30" s="23"/>
      <c r="K30" s="393">
        <f t="shared" si="2"/>
        <v>0</v>
      </c>
      <c r="M30" s="10"/>
      <c r="P30" s="53"/>
      <c r="R30" s="53"/>
    </row>
    <row r="31" spans="2:26" s="41" customFormat="1" ht="25" customHeight="1">
      <c r="B31" s="77" t="str">
        <f>'SEK - Safesprings tjänster 2024'!B31</f>
        <v>FLAVOR-l2. c4 r8. 1000</v>
      </c>
      <c r="C31" s="78">
        <f>'SEK - Safesprings tjänster 2024'!C31</f>
        <v>4</v>
      </c>
      <c r="D31" s="78">
        <f>'SEK - Safesprings tjänster 2024'!D31</f>
        <v>8</v>
      </c>
      <c r="E31" s="79">
        <f>'SEK - Safesprings tjänster 2024'!E31</f>
        <v>1000</v>
      </c>
      <c r="F31" s="394">
        <f t="shared" si="0"/>
        <v>0.21755555555555553</v>
      </c>
      <c r="G31" s="394">
        <f t="shared" si="1"/>
        <v>156.63999999999999</v>
      </c>
      <c r="H31" s="82"/>
      <c r="I31" s="75"/>
      <c r="J31" s="82"/>
      <c r="K31" s="395">
        <f t="shared" si="2"/>
        <v>0</v>
      </c>
      <c r="M31" s="10"/>
      <c r="P31" s="53"/>
      <c r="R31" s="53"/>
    </row>
    <row r="32" spans="2:26" s="41" customFormat="1" ht="25" customHeight="1">
      <c r="B32" s="70" t="str">
        <f>'SEK - Safesprings tjänster 2024'!B32</f>
        <v>FLAVOR-l2. c8 r16. 100</v>
      </c>
      <c r="C32" s="71">
        <f>'SEK - Safesprings tjänster 2024'!C32</f>
        <v>8</v>
      </c>
      <c r="D32" s="71">
        <f>'SEK - Safesprings tjänster 2024'!D32</f>
        <v>16</v>
      </c>
      <c r="E32" s="72">
        <f>'SEK - Safesprings tjänster 2024'!E32</f>
        <v>100</v>
      </c>
      <c r="F32" s="392">
        <f t="shared" si="0"/>
        <v>0.20024999999999998</v>
      </c>
      <c r="G32" s="392">
        <f t="shared" si="1"/>
        <v>144.17999999999998</v>
      </c>
      <c r="H32" s="23"/>
      <c r="I32" s="75"/>
      <c r="J32" s="23"/>
      <c r="K32" s="393">
        <f t="shared" si="2"/>
        <v>0</v>
      </c>
      <c r="M32" s="10"/>
      <c r="P32" s="53"/>
      <c r="R32" s="53"/>
    </row>
    <row r="33" spans="2:18" s="41" customFormat="1" ht="25" customHeight="1">
      <c r="B33" s="77" t="str">
        <f>'SEK - Safesprings tjänster 2024'!B33</f>
        <v>FLAVOR-l2. c8 r16. 500</v>
      </c>
      <c r="C33" s="78">
        <f>'SEK - Safesprings tjänster 2024'!C33</f>
        <v>8</v>
      </c>
      <c r="D33" s="78">
        <f>'SEK - Safesprings tjänster 2024'!D33</f>
        <v>16</v>
      </c>
      <c r="E33" s="79">
        <f>'SEK - Safesprings tjänster 2024'!E33</f>
        <v>500</v>
      </c>
      <c r="F33" s="394">
        <f t="shared" si="0"/>
        <v>0.24969444444444441</v>
      </c>
      <c r="G33" s="394">
        <f t="shared" si="1"/>
        <v>179.77999999999997</v>
      </c>
      <c r="H33" s="82"/>
      <c r="I33" s="75"/>
      <c r="J33" s="82"/>
      <c r="K33" s="395">
        <f t="shared" si="2"/>
        <v>0</v>
      </c>
      <c r="M33" s="10"/>
      <c r="P33" s="53"/>
      <c r="R33" s="53"/>
    </row>
    <row r="34" spans="2:18" s="41" customFormat="1" ht="25" customHeight="1">
      <c r="B34" s="70" t="str">
        <f>'SEK - Safesprings tjänster 2024'!B34</f>
        <v>FLAVOR-l2. c8 r16. 1000</v>
      </c>
      <c r="C34" s="71">
        <f>'SEK - Safesprings tjänster 2024'!C34</f>
        <v>8</v>
      </c>
      <c r="D34" s="71">
        <f>'SEK - Safesprings tjänster 2024'!D34</f>
        <v>16</v>
      </c>
      <c r="E34" s="72">
        <f>'SEK - Safesprings tjänster 2024'!E34</f>
        <v>1000</v>
      </c>
      <c r="F34" s="392">
        <f t="shared" si="0"/>
        <v>0.31149999999999994</v>
      </c>
      <c r="G34" s="392">
        <f t="shared" si="1"/>
        <v>224.27999999999997</v>
      </c>
      <c r="H34" s="23"/>
      <c r="I34" s="75"/>
      <c r="J34" s="23"/>
      <c r="K34" s="393">
        <f t="shared" si="2"/>
        <v>0</v>
      </c>
      <c r="M34" s="10"/>
      <c r="P34" s="53"/>
      <c r="R34" s="53"/>
    </row>
    <row r="35" spans="2:18" s="41" customFormat="1" ht="25" customHeight="1">
      <c r="B35" s="77" t="str">
        <f>'SEK - Safesprings tjänster 2024'!B35</f>
        <v>FLAVOR-l2. c16 r32. 100</v>
      </c>
      <c r="C35" s="78">
        <f>'SEK - Safesprings tjänster 2024'!C35</f>
        <v>16</v>
      </c>
      <c r="D35" s="78">
        <f>'SEK - Safesprings tjänster 2024'!D35</f>
        <v>32</v>
      </c>
      <c r="E35" s="79">
        <f>'SEK - Safesprings tjänster 2024'!E35</f>
        <v>100</v>
      </c>
      <c r="F35" s="394">
        <f t="shared" si="0"/>
        <v>0.38813888888888876</v>
      </c>
      <c r="G35" s="394">
        <f t="shared" si="1"/>
        <v>279.45999999999992</v>
      </c>
      <c r="H35" s="82"/>
      <c r="I35" s="75"/>
      <c r="J35" s="82"/>
      <c r="K35" s="395">
        <f t="shared" si="2"/>
        <v>0</v>
      </c>
      <c r="M35" s="10"/>
      <c r="P35" s="53"/>
      <c r="R35" s="53"/>
    </row>
    <row r="36" spans="2:18" s="41" customFormat="1" ht="25" customHeight="1">
      <c r="B36" s="70" t="str">
        <f>'SEK - Safesprings tjänster 2024'!B36</f>
        <v>FLAVOR-l2. c16 r32. 500</v>
      </c>
      <c r="C36" s="71">
        <f>'SEK - Safesprings tjänster 2024'!C36</f>
        <v>16</v>
      </c>
      <c r="D36" s="71">
        <f>'SEK - Safesprings tjänster 2024'!D36</f>
        <v>32</v>
      </c>
      <c r="E36" s="72">
        <f>'SEK - Safesprings tjänster 2024'!E36</f>
        <v>500</v>
      </c>
      <c r="F36" s="392">
        <f t="shared" si="0"/>
        <v>0.43758333333333327</v>
      </c>
      <c r="G36" s="392">
        <f t="shared" si="1"/>
        <v>315.05999999999995</v>
      </c>
      <c r="H36" s="23"/>
      <c r="I36" s="75"/>
      <c r="J36" s="23"/>
      <c r="K36" s="393">
        <f t="shared" si="2"/>
        <v>0</v>
      </c>
      <c r="M36" s="10"/>
      <c r="P36" s="53"/>
      <c r="R36" s="53"/>
    </row>
    <row r="37" spans="2:18" s="41" customFormat="1" ht="25" customHeight="1">
      <c r="B37" s="77" t="str">
        <f>'SEK - Safesprings tjänster 2024'!B37</f>
        <v>FLAVOR-l2. c16 r32. 1000</v>
      </c>
      <c r="C37" s="78">
        <f>'SEK - Safesprings tjänster 2024'!C37</f>
        <v>16</v>
      </c>
      <c r="D37" s="78">
        <f>'SEK - Safesprings tjänster 2024'!D37</f>
        <v>32</v>
      </c>
      <c r="E37" s="79">
        <f>'SEK - Safesprings tjänster 2024'!E37</f>
        <v>1000</v>
      </c>
      <c r="F37" s="394">
        <f t="shared" si="0"/>
        <v>0.49938888888888883</v>
      </c>
      <c r="G37" s="394">
        <f t="shared" si="1"/>
        <v>359.55999999999995</v>
      </c>
      <c r="H37" s="82"/>
      <c r="I37" s="75"/>
      <c r="J37" s="82"/>
      <c r="K37" s="395">
        <f t="shared" si="2"/>
        <v>0</v>
      </c>
      <c r="M37" s="10"/>
      <c r="P37" s="53"/>
      <c r="R37" s="53"/>
    </row>
    <row r="38" spans="2:18" s="41" customFormat="1" ht="25" customHeight="1">
      <c r="B38" s="70" t="str">
        <f>'SEK - Safesprings tjänster 2024'!B38</f>
        <v>FLAVOR-l2. c16 r64. 500</v>
      </c>
      <c r="C38" s="71">
        <f>'SEK - Safesprings tjänster 2024'!C38</f>
        <v>16</v>
      </c>
      <c r="D38" s="71">
        <f>'SEK - Safesprings tjänster 2024'!D38</f>
        <v>64</v>
      </c>
      <c r="E38" s="72">
        <f>'SEK - Safesprings tjänster 2024'!E38</f>
        <v>500</v>
      </c>
      <c r="F38" s="392">
        <f t="shared" si="0"/>
        <v>0.65513888888888883</v>
      </c>
      <c r="G38" s="392">
        <f t="shared" si="1"/>
        <v>471.69999999999993</v>
      </c>
      <c r="H38" s="23"/>
      <c r="I38" s="75"/>
      <c r="J38" s="23"/>
      <c r="K38" s="393">
        <f t="shared" si="2"/>
        <v>0</v>
      </c>
      <c r="M38" s="10"/>
      <c r="P38" s="53"/>
      <c r="R38" s="53"/>
    </row>
    <row r="39" spans="2:18" s="41" customFormat="1" ht="25" customHeight="1">
      <c r="B39" s="77" t="str">
        <f>'SEK - Safesprings tjänster 2024'!B39</f>
        <v>FLAVOR-l2. c32 r64. 1000</v>
      </c>
      <c r="C39" s="78">
        <f>'SEK - Safesprings tjänster 2024'!C39</f>
        <v>32</v>
      </c>
      <c r="D39" s="78">
        <f>'SEK - Safesprings tjänster 2024'!D39</f>
        <v>64</v>
      </c>
      <c r="E39" s="79">
        <f>'SEK - Safesprings tjänster 2024'!E39</f>
        <v>1000</v>
      </c>
      <c r="F39" s="394">
        <f t="shared" si="0"/>
        <v>0.87516666666666654</v>
      </c>
      <c r="G39" s="394">
        <f t="shared" si="1"/>
        <v>630.11999999999989</v>
      </c>
      <c r="H39" s="82"/>
      <c r="I39" s="75"/>
      <c r="J39" s="82"/>
      <c r="K39" s="395">
        <f t="shared" si="2"/>
        <v>0</v>
      </c>
      <c r="M39" s="10"/>
      <c r="P39" s="53"/>
      <c r="R39" s="53"/>
    </row>
    <row r="40" spans="2:18" s="84" customFormat="1" ht="25" customHeight="1">
      <c r="B40" s="85" t="s">
        <v>277</v>
      </c>
      <c r="C40" s="86">
        <f t="array" ref="C40">SUM(C26:C39*I26:I39)</f>
        <v>0</v>
      </c>
      <c r="D40" s="86" t="str">
        <f t="array" ref="D40">SUM(D26:D39*I26:I39)&amp;" GB"</f>
        <v>0 GB</v>
      </c>
      <c r="E40" s="396" t="str">
        <f t="array" ref="E40">SUM(E26:E39*I26:I39)&amp;" GB"</f>
        <v>0 GB</v>
      </c>
      <c r="F40" s="86"/>
      <c r="G40" s="86"/>
      <c r="H40" s="86"/>
      <c r="I40" s="86">
        <f>SUM(I26:I39)</f>
        <v>0</v>
      </c>
      <c r="J40" s="86"/>
      <c r="K40" s="397">
        <f>SUM(K26:K39)</f>
        <v>0</v>
      </c>
      <c r="M40" s="10"/>
      <c r="P40" s="89"/>
      <c r="R40" s="89"/>
    </row>
    <row r="41" spans="2:18" s="41" customFormat="1" ht="25" customHeight="1">
      <c r="B41" s="119"/>
      <c r="C41" s="90"/>
      <c r="D41" s="90"/>
      <c r="E41" s="91"/>
      <c r="F41" s="92"/>
      <c r="G41" s="93"/>
      <c r="H41" s="94"/>
      <c r="I41" s="95"/>
      <c r="J41" s="96"/>
      <c r="K41" s="398"/>
      <c r="M41" s="10"/>
      <c r="P41" s="53"/>
      <c r="R41" s="53"/>
    </row>
    <row r="42" spans="2:18" s="41" customFormat="1" ht="25" customHeight="1">
      <c r="B42" s="119"/>
      <c r="C42" s="90"/>
      <c r="D42" s="90"/>
      <c r="E42" s="91"/>
      <c r="F42" s="92"/>
      <c r="G42" s="93"/>
      <c r="H42" s="94"/>
      <c r="I42" s="95"/>
      <c r="J42" s="96"/>
      <c r="K42" s="398"/>
      <c r="M42" s="10"/>
      <c r="P42" s="53"/>
      <c r="R42" s="53"/>
    </row>
    <row r="43" spans="2:18" ht="25" customHeight="1">
      <c r="B43" s="98"/>
      <c r="C43" s="99"/>
      <c r="D43" s="99"/>
      <c r="E43" s="99"/>
      <c r="F43" s="99"/>
      <c r="G43" s="100"/>
      <c r="H43" s="101"/>
      <c r="I43" s="101"/>
      <c r="J43" s="99"/>
      <c r="K43" s="399"/>
      <c r="M43" s="10"/>
      <c r="P43" s="53"/>
      <c r="Q43" s="53"/>
      <c r="R43" s="69"/>
    </row>
    <row r="44" spans="2:18" s="63" customFormat="1" ht="25" customHeight="1">
      <c r="B44" s="103" t="s">
        <v>395</v>
      </c>
      <c r="C44" s="104"/>
      <c r="D44" s="104"/>
      <c r="K44" s="401"/>
      <c r="M44" s="10"/>
    </row>
    <row r="45" spans="2:18" ht="25" customHeight="1">
      <c r="B45" s="161" t="s">
        <v>391</v>
      </c>
      <c r="C45" s="63"/>
      <c r="D45" s="63"/>
      <c r="E45" s="63"/>
      <c r="F45" s="63"/>
      <c r="M45" s="10"/>
    </row>
    <row r="46" spans="2:18" s="63" customFormat="1" ht="25" customHeight="1">
      <c r="B46" s="64" t="s">
        <v>274</v>
      </c>
      <c r="C46" s="65" t="s">
        <v>12</v>
      </c>
      <c r="D46" s="65" t="s">
        <v>35</v>
      </c>
      <c r="E46" s="66" t="s">
        <v>392</v>
      </c>
      <c r="F46" s="66" t="s">
        <v>275</v>
      </c>
      <c r="G46" s="66" t="s">
        <v>393</v>
      </c>
      <c r="H46" s="65"/>
      <c r="I46" s="67" t="s">
        <v>394</v>
      </c>
      <c r="J46" s="65"/>
      <c r="K46" s="391" t="s">
        <v>276</v>
      </c>
      <c r="M46" s="10"/>
      <c r="N46" s="1"/>
      <c r="O46" s="1"/>
      <c r="P46" s="53"/>
      <c r="Q46" s="53"/>
      <c r="R46" s="69"/>
    </row>
    <row r="47" spans="2:18" s="41" customFormat="1" ht="25" customHeight="1">
      <c r="B47" s="70" t="str">
        <f>'SEK - Safesprings tjänster 2024'!B47</f>
        <v>FLAVOR-b2. c1 r2</v>
      </c>
      <c r="C47" s="71">
        <f>'SEK - Safesprings tjänster 2024'!C47</f>
        <v>1</v>
      </c>
      <c r="D47" s="71">
        <f>'SEK - Safesprings tjänster 2024'!D47</f>
        <v>2</v>
      </c>
      <c r="E47" s="112">
        <f>'SEK - Safesprings tjänster 2024'!E47</f>
        <v>0</v>
      </c>
      <c r="F47" s="392">
        <f t="shared" si="0"/>
        <v>2.3486111111111107E-2</v>
      </c>
      <c r="G47" s="392">
        <f t="shared" ref="G47:G56" si="3">C47*IAAS_vcpu_EUR+D47*IAAS_ram_EUR+E47*IAAS_ssd_EUR</f>
        <v>16.909999999999997</v>
      </c>
      <c r="H47" s="23"/>
      <c r="I47" s="75"/>
      <c r="J47" s="23"/>
      <c r="K47" s="393">
        <f t="shared" ref="K47:K56" si="4">ROUNDUP(I47*G47,2)</f>
        <v>0</v>
      </c>
      <c r="M47" s="10"/>
      <c r="N47" s="113"/>
      <c r="O47" s="114"/>
    </row>
    <row r="48" spans="2:18" s="41" customFormat="1" ht="25" customHeight="1">
      <c r="B48" s="77" t="str">
        <f>'SEK - Safesprings tjänster 2024'!B48</f>
        <v>FLAVOR-b2. c1 r4</v>
      </c>
      <c r="C48" s="78">
        <f>'SEK - Safesprings tjänster 2024'!C48</f>
        <v>1</v>
      </c>
      <c r="D48" s="78">
        <f>'SEK - Safesprings tjänster 2024'!D48</f>
        <v>4</v>
      </c>
      <c r="E48" s="115">
        <f>'SEK - Safesprings tjänster 2024'!E48</f>
        <v>0</v>
      </c>
      <c r="F48" s="394">
        <f t="shared" si="0"/>
        <v>3.7083333333333329E-2</v>
      </c>
      <c r="G48" s="394">
        <f t="shared" si="3"/>
        <v>26.699999999999996</v>
      </c>
      <c r="H48" s="82"/>
      <c r="I48" s="75"/>
      <c r="J48" s="82"/>
      <c r="K48" s="395">
        <f t="shared" si="4"/>
        <v>0</v>
      </c>
      <c r="L48" s="116"/>
      <c r="M48" s="10"/>
      <c r="N48" s="113"/>
      <c r="O48" s="114"/>
    </row>
    <row r="49" spans="1:20" s="41" customFormat="1" ht="25" customHeight="1">
      <c r="B49" s="70" t="str">
        <f>'SEK - Safesprings tjänster 2024'!B49</f>
        <v>FLAVOR-b2. c2 r4</v>
      </c>
      <c r="C49" s="71">
        <f>'SEK - Safesprings tjänster 2024'!C49</f>
        <v>2</v>
      </c>
      <c r="D49" s="71">
        <f>'SEK - Safesprings tjänster 2024'!D49</f>
        <v>4</v>
      </c>
      <c r="E49" s="112">
        <f>'SEK - Safesprings tjänster 2024'!E49</f>
        <v>0</v>
      </c>
      <c r="F49" s="392">
        <f t="shared" si="0"/>
        <v>4.6972222222222214E-2</v>
      </c>
      <c r="G49" s="392">
        <f t="shared" si="3"/>
        <v>33.819999999999993</v>
      </c>
      <c r="H49" s="23"/>
      <c r="I49" s="75"/>
      <c r="J49" s="23"/>
      <c r="K49" s="393">
        <f t="shared" si="4"/>
        <v>0</v>
      </c>
      <c r="L49" s="116"/>
      <c r="M49" s="10"/>
      <c r="N49" s="113"/>
      <c r="O49" s="114"/>
    </row>
    <row r="50" spans="1:20" s="41" customFormat="1" ht="25" customHeight="1">
      <c r="B50" s="77" t="str">
        <f>'SEK - Safesprings tjänster 2024'!B50</f>
        <v>FLAVOR-b2. c2 r8</v>
      </c>
      <c r="C50" s="78">
        <f>'SEK - Safesprings tjänster 2024'!C50</f>
        <v>2</v>
      </c>
      <c r="D50" s="78">
        <f>'SEK - Safesprings tjänster 2024'!D50</f>
        <v>8</v>
      </c>
      <c r="E50" s="115">
        <f>'SEK - Safesprings tjänster 2024'!E50</f>
        <v>0</v>
      </c>
      <c r="F50" s="394">
        <f t="shared" si="0"/>
        <v>7.4166666666666659E-2</v>
      </c>
      <c r="G50" s="394">
        <f t="shared" si="3"/>
        <v>53.399999999999991</v>
      </c>
      <c r="H50" s="82"/>
      <c r="I50" s="75"/>
      <c r="J50" s="82"/>
      <c r="K50" s="395">
        <f t="shared" si="4"/>
        <v>0</v>
      </c>
      <c r="L50" s="116"/>
      <c r="M50" s="10"/>
      <c r="N50" s="113"/>
      <c r="O50" s="117"/>
    </row>
    <row r="51" spans="1:20" s="41" customFormat="1" ht="25" customHeight="1">
      <c r="B51" s="70" t="str">
        <f>'SEK - Safesprings tjänster 2024'!B51</f>
        <v>FLAVOR-b2 .c4 r8</v>
      </c>
      <c r="C51" s="71">
        <f>'SEK - Safesprings tjänster 2024'!C51</f>
        <v>4</v>
      </c>
      <c r="D51" s="71">
        <f>'SEK - Safesprings tjänster 2024'!D51</f>
        <v>8</v>
      </c>
      <c r="E51" s="112">
        <f>'SEK - Safesprings tjänster 2024'!E51</f>
        <v>0</v>
      </c>
      <c r="F51" s="392">
        <f t="shared" si="0"/>
        <v>9.3944444444444428E-2</v>
      </c>
      <c r="G51" s="392">
        <f t="shared" si="3"/>
        <v>67.639999999999986</v>
      </c>
      <c r="H51" s="23"/>
      <c r="I51" s="75"/>
      <c r="J51" s="23"/>
      <c r="K51" s="393">
        <f t="shared" si="4"/>
        <v>0</v>
      </c>
      <c r="L51" s="116"/>
      <c r="M51" s="10"/>
      <c r="N51" s="113"/>
    </row>
    <row r="52" spans="1:20" s="41" customFormat="1" ht="25" customHeight="1">
      <c r="B52" s="77" t="str">
        <f>'SEK - Safesprings tjänster 2024'!B52</f>
        <v>FLAVOR-b2. c4 r16</v>
      </c>
      <c r="C52" s="78">
        <f>'SEK - Safesprings tjänster 2024'!C52</f>
        <v>4</v>
      </c>
      <c r="D52" s="78">
        <f>'SEK - Safesprings tjänster 2024'!D52</f>
        <v>16</v>
      </c>
      <c r="E52" s="115">
        <f>'SEK - Safesprings tjänster 2024'!E52</f>
        <v>0</v>
      </c>
      <c r="F52" s="394">
        <f t="shared" si="0"/>
        <v>0.14833333333333332</v>
      </c>
      <c r="G52" s="394">
        <f t="shared" si="3"/>
        <v>106.79999999999998</v>
      </c>
      <c r="H52" s="82"/>
      <c r="I52" s="75"/>
      <c r="J52" s="82"/>
      <c r="K52" s="395">
        <f t="shared" si="4"/>
        <v>0</v>
      </c>
      <c r="L52" s="116"/>
      <c r="M52" s="10"/>
    </row>
    <row r="53" spans="1:20" s="41" customFormat="1" ht="25" customHeight="1">
      <c r="B53" s="70" t="str">
        <f>'SEK - Safesprings tjänster 2024'!B53</f>
        <v>FLAVOR-b2. c8 r16</v>
      </c>
      <c r="C53" s="71">
        <f>'SEK - Safesprings tjänster 2024'!C53</f>
        <v>8</v>
      </c>
      <c r="D53" s="71">
        <f>'SEK - Safesprings tjänster 2024'!D53</f>
        <v>16</v>
      </c>
      <c r="E53" s="112">
        <f>'SEK - Safesprings tjänster 2024'!E53</f>
        <v>0</v>
      </c>
      <c r="F53" s="392">
        <f t="shared" si="0"/>
        <v>0.18788888888888886</v>
      </c>
      <c r="G53" s="392">
        <f t="shared" si="3"/>
        <v>135.27999999999997</v>
      </c>
      <c r="H53" s="23"/>
      <c r="I53" s="75"/>
      <c r="J53" s="23"/>
      <c r="K53" s="393">
        <f t="shared" si="4"/>
        <v>0</v>
      </c>
      <c r="L53" s="116"/>
      <c r="M53" s="10"/>
    </row>
    <row r="54" spans="1:20" s="41" customFormat="1" ht="25" customHeight="1">
      <c r="B54" s="77" t="str">
        <f>'SEK - Safesprings tjänster 2024'!B54</f>
        <v>FLAVOR-b2. c8 r32</v>
      </c>
      <c r="C54" s="78">
        <f>'SEK - Safesprings tjänster 2024'!C54</f>
        <v>8</v>
      </c>
      <c r="D54" s="78">
        <f>'SEK - Safesprings tjänster 2024'!D54</f>
        <v>32</v>
      </c>
      <c r="E54" s="115">
        <f>'SEK - Safesprings tjänster 2024'!E54</f>
        <v>0</v>
      </c>
      <c r="F54" s="394">
        <f t="shared" si="0"/>
        <v>0.29666666666666663</v>
      </c>
      <c r="G54" s="394">
        <f t="shared" si="3"/>
        <v>213.59999999999997</v>
      </c>
      <c r="H54" s="82"/>
      <c r="I54" s="75"/>
      <c r="J54" s="82"/>
      <c r="K54" s="395">
        <f t="shared" si="4"/>
        <v>0</v>
      </c>
      <c r="L54" s="116"/>
      <c r="M54" s="10"/>
    </row>
    <row r="55" spans="1:20" s="41" customFormat="1" ht="25" customHeight="1">
      <c r="B55" s="70" t="str">
        <f>'SEK - Safesprings tjänster 2024'!B55</f>
        <v>FLAVOR-b2. c16 r32</v>
      </c>
      <c r="C55" s="71">
        <f>'SEK - Safesprings tjänster 2024'!C55</f>
        <v>16</v>
      </c>
      <c r="D55" s="71">
        <f>'SEK - Safesprings tjänster 2024'!D55</f>
        <v>32</v>
      </c>
      <c r="E55" s="112">
        <f>'SEK - Safesprings tjänster 2024'!E55</f>
        <v>0</v>
      </c>
      <c r="F55" s="392">
        <f t="shared" si="0"/>
        <v>0.37577777777777771</v>
      </c>
      <c r="G55" s="392">
        <f t="shared" si="3"/>
        <v>270.55999999999995</v>
      </c>
      <c r="H55" s="23"/>
      <c r="I55" s="75"/>
      <c r="J55" s="23"/>
      <c r="K55" s="393">
        <f t="shared" si="4"/>
        <v>0</v>
      </c>
      <c r="L55" s="116"/>
      <c r="M55" s="10"/>
      <c r="P55" s="53"/>
      <c r="Q55" s="53"/>
      <c r="R55" s="53"/>
    </row>
    <row r="56" spans="1:20" s="41" customFormat="1" ht="25" customHeight="1">
      <c r="B56" s="77" t="str">
        <f>'SEK - Safesprings tjänster 2024'!B56</f>
        <v>FLAVOR-b2. c16 r64</v>
      </c>
      <c r="C56" s="78">
        <f>'SEK - Safesprings tjänster 2024'!C56</f>
        <v>16</v>
      </c>
      <c r="D56" s="78">
        <f>'SEK - Safesprings tjänster 2024'!D56</f>
        <v>64</v>
      </c>
      <c r="E56" s="115">
        <f>'SEK - Safesprings tjänster 2024'!E56</f>
        <v>0</v>
      </c>
      <c r="F56" s="394">
        <f t="shared" si="0"/>
        <v>0.59333333333333327</v>
      </c>
      <c r="G56" s="394">
        <f t="shared" si="3"/>
        <v>427.19999999999993</v>
      </c>
      <c r="H56" s="82"/>
      <c r="I56" s="75"/>
      <c r="J56" s="82"/>
      <c r="K56" s="395">
        <f t="shared" si="4"/>
        <v>0</v>
      </c>
      <c r="L56" s="116"/>
      <c r="M56" s="10"/>
      <c r="P56" s="53"/>
      <c r="Q56" s="53"/>
      <c r="R56" s="53"/>
    </row>
    <row r="57" spans="1:20" s="84" customFormat="1" ht="25" customHeight="1">
      <c r="B57" s="85" t="s">
        <v>277</v>
      </c>
      <c r="C57" s="86">
        <f t="array" ref="C57">SUM(b2_list_vCPU*b2_list_Antal_instanser)</f>
        <v>0</v>
      </c>
      <c r="D57" s="86">
        <f t="array" ref="D57">SUM(b2_list_ram*b2_list_vCPU)</f>
        <v>0</v>
      </c>
      <c r="E57" s="118" t="s">
        <v>47</v>
      </c>
      <c r="F57" s="86"/>
      <c r="G57" s="86"/>
      <c r="H57" s="86"/>
      <c r="I57" s="86">
        <f>SUM(I47:I56)</f>
        <v>0</v>
      </c>
      <c r="J57" s="86"/>
      <c r="K57" s="402">
        <f>SUM(K47:K56)</f>
        <v>0</v>
      </c>
      <c r="M57" s="10"/>
      <c r="P57" s="89"/>
      <c r="R57" s="89"/>
    </row>
    <row r="58" spans="1:20" ht="25" customHeight="1">
      <c r="A58" s="41"/>
      <c r="B58" s="119"/>
      <c r="C58" s="120"/>
      <c r="D58" s="120"/>
      <c r="E58" s="120"/>
      <c r="F58" s="120"/>
      <c r="G58" s="93"/>
      <c r="H58" s="94"/>
      <c r="I58" s="121"/>
      <c r="J58" s="96"/>
      <c r="K58" s="398"/>
      <c r="M58" s="10"/>
      <c r="P58" s="53"/>
      <c r="Q58" s="53"/>
      <c r="R58" s="69"/>
    </row>
    <row r="59" spans="1:20" s="122" customFormat="1" ht="25" hidden="1" customHeight="1">
      <c r="B59" s="56" t="s">
        <v>48</v>
      </c>
      <c r="C59" s="58"/>
      <c r="D59" s="58"/>
      <c r="E59" s="58"/>
      <c r="F59" s="58"/>
      <c r="G59" s="58"/>
      <c r="H59" s="58"/>
      <c r="K59" s="403"/>
      <c r="L59" s="124"/>
      <c r="M59" s="10"/>
      <c r="R59" s="125"/>
      <c r="S59" s="125"/>
      <c r="T59" s="126"/>
    </row>
    <row r="60" spans="1:20" ht="25" hidden="1" customHeight="1">
      <c r="B60" s="537" t="s">
        <v>337</v>
      </c>
      <c r="C60" s="537"/>
      <c r="D60" s="537"/>
      <c r="E60" s="537"/>
      <c r="M60" s="10"/>
    </row>
    <row r="61" spans="1:20" s="127" customFormat="1" ht="25" hidden="1" customHeight="1">
      <c r="B61" s="64" t="s">
        <v>11</v>
      </c>
      <c r="C61" s="65" t="s">
        <v>50</v>
      </c>
      <c r="D61" s="65" t="s">
        <v>35</v>
      </c>
      <c r="E61" s="128" t="s">
        <v>51</v>
      </c>
      <c r="F61" s="108" t="s">
        <v>52</v>
      </c>
      <c r="G61" s="108" t="s">
        <v>15</v>
      </c>
      <c r="H61" s="66" t="s">
        <v>16</v>
      </c>
      <c r="I61" s="67" t="s">
        <v>17</v>
      </c>
      <c r="J61" s="65"/>
      <c r="K61" s="391" t="s">
        <v>18</v>
      </c>
      <c r="L61" s="129"/>
      <c r="M61" s="10"/>
      <c r="Q61" s="130"/>
      <c r="R61" s="130"/>
      <c r="S61" s="131"/>
    </row>
    <row r="62" spans="1:20" s="41" customFormat="1" ht="25" hidden="1" customHeight="1">
      <c r="B62" s="70" t="s">
        <v>53</v>
      </c>
      <c r="C62" s="71">
        <v>4</v>
      </c>
      <c r="D62" s="71">
        <v>16</v>
      </c>
      <c r="E62" s="72">
        <v>250</v>
      </c>
      <c r="F62" s="132">
        <v>1</v>
      </c>
      <c r="G62" s="133">
        <f t="shared" ref="G62:G65" si="5">H62/720</f>
        <v>9.6527777777777786</v>
      </c>
      <c r="H62" s="74">
        <f t="shared" ref="H62:H65" si="6">C62*IAAS_vcpu_SEK+D62*IAAS_ram_SEK+E62*IAAS_nvme_SEK+F62*IAAS_gpu_SEK</f>
        <v>6950</v>
      </c>
      <c r="I62" s="75"/>
      <c r="J62" s="134"/>
      <c r="K62" s="393">
        <f t="shared" ref="K62:K65" si="7">ROUNDUP(I62*H62,2)</f>
        <v>0</v>
      </c>
      <c r="M62" s="10"/>
      <c r="P62" s="53"/>
      <c r="R62" s="53"/>
    </row>
    <row r="63" spans="1:20" s="41" customFormat="1" ht="25" hidden="1" customHeight="1">
      <c r="B63" s="77" t="s">
        <v>54</v>
      </c>
      <c r="C63" s="78">
        <v>8</v>
      </c>
      <c r="D63" s="78">
        <v>32</v>
      </c>
      <c r="E63" s="79">
        <v>500</v>
      </c>
      <c r="F63" s="135">
        <v>2</v>
      </c>
      <c r="G63" s="136">
        <f t="shared" si="5"/>
        <v>19.305555555555557</v>
      </c>
      <c r="H63" s="81">
        <f t="shared" si="6"/>
        <v>13900</v>
      </c>
      <c r="I63" s="75"/>
      <c r="J63" s="40"/>
      <c r="K63" s="395">
        <f t="shared" si="7"/>
        <v>0</v>
      </c>
      <c r="M63" s="10"/>
      <c r="P63" s="53"/>
      <c r="R63" s="53"/>
    </row>
    <row r="64" spans="1:20" s="41" customFormat="1" ht="25" hidden="1" customHeight="1">
      <c r="B64" s="70" t="s">
        <v>55</v>
      </c>
      <c r="C64" s="71">
        <v>16</v>
      </c>
      <c r="D64" s="71">
        <v>64</v>
      </c>
      <c r="E64" s="72">
        <v>1000</v>
      </c>
      <c r="F64" s="132">
        <v>4</v>
      </c>
      <c r="G64" s="133">
        <f t="shared" si="5"/>
        <v>38.611111111111114</v>
      </c>
      <c r="H64" s="74">
        <f t="shared" si="6"/>
        <v>27800</v>
      </c>
      <c r="I64" s="75"/>
      <c r="J64" s="134"/>
      <c r="K64" s="393">
        <f t="shared" si="7"/>
        <v>0</v>
      </c>
      <c r="M64" s="10"/>
      <c r="P64" s="53"/>
      <c r="R64" s="53"/>
    </row>
    <row r="65" spans="2:20" s="41" customFormat="1" ht="25" hidden="1" customHeight="1">
      <c r="B65" s="77" t="s">
        <v>56</v>
      </c>
      <c r="C65" s="78">
        <v>32</v>
      </c>
      <c r="D65" s="78">
        <v>128</v>
      </c>
      <c r="E65" s="79">
        <v>1000</v>
      </c>
      <c r="F65" s="135">
        <v>6</v>
      </c>
      <c r="G65" s="136">
        <f t="shared" si="5"/>
        <v>60.555555555555557</v>
      </c>
      <c r="H65" s="81">
        <f t="shared" si="6"/>
        <v>43600</v>
      </c>
      <c r="I65" s="75"/>
      <c r="J65" s="40"/>
      <c r="K65" s="395">
        <f t="shared" si="7"/>
        <v>0</v>
      </c>
      <c r="M65" s="10"/>
      <c r="P65" s="53"/>
      <c r="R65" s="53"/>
    </row>
    <row r="66" spans="2:20" s="84" customFormat="1" ht="25" hidden="1" customHeight="1">
      <c r="B66" s="85" t="s">
        <v>33</v>
      </c>
      <c r="C66" s="86" t="str">
        <f t="array" ref="C66">SUM(I62:I65*C62:C65)&amp;" st"</f>
        <v>0 st</v>
      </c>
      <c r="D66" s="86" t="str">
        <f t="array" ref="D66">SUM(I62:I65*D62:D65)&amp;" GB"</f>
        <v>0 GB</v>
      </c>
      <c r="E66" s="87" t="str">
        <f t="array" ref="E66">SUM(I62:I65*E62:E65)&amp;" GB"</f>
        <v>0 GB</v>
      </c>
      <c r="F66" s="87" t="str">
        <f t="array" ref="F66">SUM(I62:I65*F62:F65)&amp;" st"</f>
        <v>0 st</v>
      </c>
      <c r="G66" s="86"/>
      <c r="H66" s="86"/>
      <c r="I66" s="86" t="str">
        <f>SUM(I62:I65)&amp;" st"</f>
        <v>0 st</v>
      </c>
      <c r="J66" s="86"/>
      <c r="K66" s="402">
        <f>SUM(K62:K65)</f>
        <v>0</v>
      </c>
      <c r="M66" s="10"/>
      <c r="P66" s="89"/>
      <c r="R66" s="89"/>
    </row>
    <row r="67" spans="2:20" s="41" customFormat="1" ht="25" hidden="1" customHeight="1">
      <c r="B67" s="119"/>
      <c r="C67" s="137"/>
      <c r="D67" s="137"/>
      <c r="E67" s="120"/>
      <c r="F67" s="137"/>
      <c r="G67" s="137"/>
      <c r="H67" s="54"/>
      <c r="I67" s="54"/>
      <c r="J67" s="54"/>
      <c r="K67" s="404"/>
      <c r="M67" s="10"/>
      <c r="P67" s="53"/>
      <c r="R67" s="53"/>
    </row>
    <row r="68" spans="2:20" s="41" customFormat="1" ht="25" hidden="1" customHeight="1">
      <c r="B68" s="119"/>
      <c r="C68" s="137"/>
      <c r="D68" s="137"/>
      <c r="E68" s="120"/>
      <c r="F68" s="137"/>
      <c r="G68" s="137"/>
      <c r="H68" s="54"/>
      <c r="I68" s="54"/>
      <c r="J68" s="54"/>
      <c r="K68" s="404"/>
      <c r="M68" s="10"/>
      <c r="P68" s="53"/>
      <c r="R68" s="53"/>
    </row>
    <row r="69" spans="2:20" s="55" customFormat="1" ht="25" hidden="1" customHeight="1">
      <c r="B69" s="56" t="s">
        <v>57</v>
      </c>
      <c r="C69" s="139"/>
      <c r="D69" s="139"/>
      <c r="E69" s="139"/>
      <c r="F69" s="139"/>
      <c r="G69" s="139"/>
      <c r="H69" s="54"/>
      <c r="I69" s="54"/>
      <c r="J69" s="54"/>
      <c r="K69" s="404"/>
      <c r="M69" s="10"/>
      <c r="N69" s="54"/>
      <c r="O69" s="54"/>
      <c r="P69" s="61"/>
      <c r="Q69" s="54"/>
      <c r="R69" s="62"/>
    </row>
    <row r="70" spans="2:20" ht="25" hidden="1" customHeight="1">
      <c r="B70" s="537" t="s">
        <v>337</v>
      </c>
      <c r="C70" s="537"/>
      <c r="D70" s="537"/>
      <c r="E70" s="537"/>
      <c r="M70" s="10"/>
    </row>
    <row r="71" spans="2:20" s="127" customFormat="1" ht="25" hidden="1" customHeight="1">
      <c r="B71" s="64" t="s">
        <v>11</v>
      </c>
      <c r="C71" s="65" t="s">
        <v>50</v>
      </c>
      <c r="D71" s="65" t="s">
        <v>35</v>
      </c>
      <c r="E71" s="108" t="s">
        <v>51</v>
      </c>
      <c r="F71" s="108" t="s">
        <v>15</v>
      </c>
      <c r="G71" s="66" t="s">
        <v>16</v>
      </c>
      <c r="H71" s="65"/>
      <c r="I71" s="67" t="s">
        <v>58</v>
      </c>
      <c r="J71" s="65"/>
      <c r="K71" s="391" t="s">
        <v>18</v>
      </c>
      <c r="L71" s="129"/>
      <c r="M71" s="10"/>
      <c r="Q71" s="130"/>
      <c r="R71" s="130"/>
      <c r="S71" s="131"/>
    </row>
    <row r="72" spans="2:20" s="41" customFormat="1" ht="25" hidden="1" customHeight="1">
      <c r="B72" s="140" t="s">
        <v>59</v>
      </c>
      <c r="C72" s="141">
        <v>16</v>
      </c>
      <c r="D72" s="141">
        <v>128</v>
      </c>
      <c r="E72" s="142">
        <v>3800</v>
      </c>
      <c r="F72" s="143">
        <f t="shared" ref="F72:F83" si="8">G72/720</f>
        <v>9.5</v>
      </c>
      <c r="G72" s="144">
        <f>INSTANCE_p1.2xlarge.16d_SEK</f>
        <v>6840</v>
      </c>
      <c r="H72" s="134"/>
      <c r="I72" s="75"/>
      <c r="J72" s="134"/>
      <c r="K72" s="393">
        <f t="shared" ref="K72:K74" si="9">ROUNDUP(I72*G72,2)</f>
        <v>0</v>
      </c>
      <c r="L72" s="54"/>
      <c r="M72" s="10"/>
    </row>
    <row r="73" spans="2:20" s="41" customFormat="1" ht="25" hidden="1" customHeight="1">
      <c r="B73" s="145" t="s">
        <v>60</v>
      </c>
      <c r="C73" s="146">
        <v>32</v>
      </c>
      <c r="D73" s="146">
        <v>256</v>
      </c>
      <c r="E73" s="147">
        <v>3800</v>
      </c>
      <c r="F73" s="148">
        <f t="shared" si="8"/>
        <v>19</v>
      </c>
      <c r="G73" s="149">
        <f>INSTANCE_p1.4xlarge.16d_SEK</f>
        <v>13680</v>
      </c>
      <c r="H73" s="40"/>
      <c r="I73" s="75"/>
      <c r="J73" s="40"/>
      <c r="K73" s="395">
        <f t="shared" si="9"/>
        <v>0</v>
      </c>
      <c r="L73" s="54"/>
      <c r="M73" s="10"/>
      <c r="S73" s="53"/>
    </row>
    <row r="74" spans="2:20" s="150" customFormat="1" ht="25" hidden="1" customHeight="1">
      <c r="B74" s="151" t="s">
        <v>61</v>
      </c>
      <c r="C74" s="152">
        <v>64</v>
      </c>
      <c r="D74" s="152">
        <v>512</v>
      </c>
      <c r="E74" s="153">
        <v>7600</v>
      </c>
      <c r="F74" s="154">
        <f t="shared" si="8"/>
        <v>38</v>
      </c>
      <c r="G74" s="144">
        <f>INSTANCE_p1.8xlarge.32d_SEK</f>
        <v>27360</v>
      </c>
      <c r="H74" s="134"/>
      <c r="I74" s="75"/>
      <c r="J74" s="134"/>
      <c r="K74" s="393">
        <f t="shared" si="9"/>
        <v>0</v>
      </c>
      <c r="L74" s="155"/>
      <c r="M74" s="10"/>
    </row>
    <row r="75" spans="2:20" s="84" customFormat="1" ht="25" hidden="1" customHeight="1">
      <c r="B75" s="85" t="s">
        <v>33</v>
      </c>
      <c r="C75" s="86" t="str">
        <f t="array" ref="C75">SUM(I72:I74*C72:C74)&amp;" st"</f>
        <v>0 st</v>
      </c>
      <c r="D75" s="86" t="str">
        <f t="array" ref="D75">SUM(I72:I74*D72:D74)&amp;" GB"</f>
        <v>0 GB</v>
      </c>
      <c r="E75" s="87" t="str">
        <f t="array" ref="E75">SUM(I72:I74*E72:E74)&amp;" GB"</f>
        <v>0 GB</v>
      </c>
      <c r="F75" s="86"/>
      <c r="G75" s="86"/>
      <c r="H75" s="86"/>
      <c r="I75" s="86" t="str">
        <f>SUM(I72:I74)&amp;" st"</f>
        <v>0 st</v>
      </c>
      <c r="J75" s="86"/>
      <c r="K75" s="402">
        <f>SUM(K72:K74)</f>
        <v>0</v>
      </c>
      <c r="M75" s="10"/>
      <c r="P75" s="89"/>
      <c r="R75" s="89"/>
    </row>
    <row r="76" spans="2:20" ht="25" customHeight="1">
      <c r="B76" s="156"/>
      <c r="C76" s="157"/>
      <c r="D76" s="157"/>
      <c r="E76" s="157"/>
      <c r="F76" s="157"/>
      <c r="G76" s="157"/>
      <c r="H76" s="150"/>
      <c r="I76" s="95"/>
      <c r="J76" s="95"/>
      <c r="K76" s="405"/>
      <c r="L76" s="121"/>
      <c r="M76" s="10"/>
    </row>
    <row r="77" spans="2:20" s="41" customFormat="1" ht="25" customHeight="1">
      <c r="B77" s="159"/>
      <c r="C77" s="137"/>
      <c r="D77" s="137"/>
      <c r="E77" s="137"/>
      <c r="F77" s="137"/>
      <c r="G77" s="137"/>
      <c r="H77" s="54"/>
      <c r="I77" s="54"/>
      <c r="J77" s="54"/>
      <c r="K77" s="404"/>
      <c r="L77" s="160"/>
      <c r="M77" s="10"/>
      <c r="Q77" s="53"/>
      <c r="S77" s="53"/>
    </row>
    <row r="78" spans="2:20" ht="25" customHeight="1">
      <c r="B78" s="56" t="s">
        <v>396</v>
      </c>
      <c r="C78" s="139"/>
      <c r="D78" s="139"/>
      <c r="E78" s="139"/>
      <c r="F78" s="139"/>
      <c r="G78" s="139"/>
      <c r="H78" s="54"/>
      <c r="I78" s="54"/>
      <c r="J78" s="54"/>
      <c r="K78" s="404"/>
      <c r="L78" s="160"/>
      <c r="M78" s="10"/>
      <c r="N78" s="41"/>
      <c r="O78" s="41"/>
      <c r="P78" s="41"/>
      <c r="Q78" s="41"/>
      <c r="R78" s="53"/>
      <c r="S78" s="41"/>
      <c r="T78" s="69"/>
    </row>
    <row r="79" spans="2:20" ht="25" customHeight="1">
      <c r="B79" s="161" t="s">
        <v>397</v>
      </c>
      <c r="M79" s="10"/>
    </row>
    <row r="80" spans="2:20" s="162" customFormat="1" ht="25" customHeight="1">
      <c r="B80" s="64" t="s">
        <v>274</v>
      </c>
      <c r="C80" s="163" t="s">
        <v>282</v>
      </c>
      <c r="D80" s="163"/>
      <c r="E80" s="163"/>
      <c r="F80" s="107" t="s">
        <v>275</v>
      </c>
      <c r="G80" s="66" t="s">
        <v>393</v>
      </c>
      <c r="H80" s="163"/>
      <c r="I80" s="164" t="s">
        <v>398</v>
      </c>
      <c r="J80" s="163"/>
      <c r="K80" s="406" t="s">
        <v>77</v>
      </c>
      <c r="L80" s="111"/>
      <c r="M80" s="10"/>
      <c r="N80" s="111"/>
      <c r="R80" s="166"/>
      <c r="S80" s="166"/>
      <c r="T80" s="167"/>
    </row>
    <row r="81" spans="2:20" s="41" customFormat="1" ht="25" customHeight="1">
      <c r="B81" s="140" t="s">
        <v>67</v>
      </c>
      <c r="C81" s="168" t="s">
        <v>68</v>
      </c>
      <c r="D81" s="169"/>
      <c r="E81" s="169"/>
      <c r="F81" s="407">
        <f t="shared" si="8"/>
        <v>1.4833333333333332E-4</v>
      </c>
      <c r="G81" s="408">
        <f>VOLUME_large_EUR</f>
        <v>0.10679999999999999</v>
      </c>
      <c r="H81" s="171"/>
      <c r="I81" s="172"/>
      <c r="J81" s="173"/>
      <c r="K81" s="409">
        <f t="shared" ref="K81:K83" si="10">ROUNDUP(I81*G81,2)</f>
        <v>0</v>
      </c>
      <c r="L81" s="54"/>
      <c r="M81" s="10"/>
    </row>
    <row r="82" spans="2:20" s="41" customFormat="1" ht="25" customHeight="1">
      <c r="B82" s="145" t="s">
        <v>69</v>
      </c>
      <c r="C82" s="41" t="s">
        <v>70</v>
      </c>
      <c r="D82" s="150"/>
      <c r="E82" s="150"/>
      <c r="F82" s="410">
        <f t="shared" si="8"/>
        <v>4.4500000000000003E-4</v>
      </c>
      <c r="G82" s="411">
        <f>VOLUME_fast_EUR</f>
        <v>0.32040000000000002</v>
      </c>
      <c r="H82" s="176"/>
      <c r="I82" s="177"/>
      <c r="J82" s="178"/>
      <c r="K82" s="412">
        <f t="shared" si="10"/>
        <v>0</v>
      </c>
      <c r="L82" s="54"/>
      <c r="M82" s="10"/>
      <c r="T82" s="53"/>
    </row>
    <row r="83" spans="2:20" s="41" customFormat="1" ht="25" customHeight="1">
      <c r="B83" s="140" t="s">
        <v>71</v>
      </c>
      <c r="C83" s="168" t="s">
        <v>72</v>
      </c>
      <c r="D83" s="169"/>
      <c r="E83" s="169"/>
      <c r="F83" s="407">
        <f t="shared" si="8"/>
        <v>1.4833333333333332E-4</v>
      </c>
      <c r="G83" s="408">
        <f>VOLUME_large_EUR</f>
        <v>0.10679999999999999</v>
      </c>
      <c r="H83" s="180"/>
      <c r="I83" s="172"/>
      <c r="J83" s="173"/>
      <c r="K83" s="409">
        <f t="shared" si="10"/>
        <v>0</v>
      </c>
      <c r="L83" s="54"/>
      <c r="M83" s="10"/>
    </row>
    <row r="84" spans="2:20" s="84" customFormat="1" ht="25" customHeight="1">
      <c r="B84" s="85" t="s">
        <v>277</v>
      </c>
      <c r="C84" s="86"/>
      <c r="D84" s="86"/>
      <c r="E84" s="86"/>
      <c r="F84" s="86"/>
      <c r="G84" s="86"/>
      <c r="H84" s="86"/>
      <c r="I84" s="86" t="str">
        <f>SUM(I81:I83)&amp;" GB"</f>
        <v>0 GB</v>
      </c>
      <c r="J84" s="86"/>
      <c r="K84" s="402">
        <f>SUM(K81:K83)</f>
        <v>0</v>
      </c>
      <c r="M84" s="10"/>
      <c r="P84" s="89"/>
      <c r="R84" s="89"/>
    </row>
    <row r="85" spans="2:20" ht="25" customHeight="1">
      <c r="B85" s="156"/>
      <c r="C85" s="157"/>
      <c r="D85" s="157"/>
      <c r="E85" s="157"/>
      <c r="F85" s="157"/>
      <c r="G85" s="157"/>
      <c r="H85" s="150"/>
      <c r="I85" s="181"/>
      <c r="J85" s="181"/>
      <c r="K85" s="413"/>
      <c r="L85" s="183"/>
      <c r="M85" s="10"/>
    </row>
    <row r="86" spans="2:20" s="20" customFormat="1" ht="25" customHeight="1">
      <c r="B86" s="156"/>
      <c r="C86" s="157"/>
      <c r="D86" s="157"/>
      <c r="E86" s="157"/>
      <c r="F86" s="157"/>
      <c r="G86" s="157"/>
      <c r="H86" s="181"/>
      <c r="I86" s="181"/>
      <c r="J86" s="181"/>
      <c r="K86" s="413"/>
      <c r="L86" s="185"/>
      <c r="M86" s="10"/>
    </row>
    <row r="87" spans="2:20" s="20" customFormat="1" ht="25" customHeight="1">
      <c r="B87" s="534" t="s">
        <v>217</v>
      </c>
      <c r="C87" s="534"/>
      <c r="D87" s="534"/>
      <c r="E87" s="534"/>
      <c r="F87" s="534"/>
      <c r="G87" s="534"/>
      <c r="H87" s="37"/>
      <c r="J87" s="40"/>
      <c r="K87" s="388"/>
      <c r="M87" s="10"/>
    </row>
    <row r="88" spans="2:20" s="20" customFormat="1" ht="25" customHeight="1">
      <c r="B88" s="534"/>
      <c r="C88" s="534"/>
      <c r="D88" s="534"/>
      <c r="E88" s="534"/>
      <c r="F88" s="534"/>
      <c r="G88" s="534"/>
      <c r="H88" s="37"/>
      <c r="J88" s="40"/>
      <c r="K88" s="388"/>
      <c r="M88" s="10"/>
    </row>
    <row r="89" spans="2:20" s="20" customFormat="1" ht="25" customHeight="1">
      <c r="B89" s="534"/>
      <c r="C89" s="534"/>
      <c r="D89" s="534"/>
      <c r="E89" s="534"/>
      <c r="F89" s="534"/>
      <c r="G89" s="534"/>
      <c r="H89" s="37"/>
      <c r="J89" s="40"/>
      <c r="K89" s="388"/>
      <c r="M89" s="10"/>
    </row>
    <row r="90" spans="2:20" s="20" customFormat="1" ht="25" customHeight="1">
      <c r="B90" s="42" t="s">
        <v>399</v>
      </c>
      <c r="C90" s="42"/>
      <c r="D90" s="42"/>
      <c r="E90" s="42"/>
      <c r="F90" s="42"/>
      <c r="H90" s="37"/>
      <c r="J90" s="40"/>
      <c r="K90" s="388"/>
      <c r="M90" s="10"/>
    </row>
    <row r="91" spans="2:20" s="186" customFormat="1" ht="25" customHeight="1">
      <c r="B91" s="44" t="s">
        <v>273</v>
      </c>
      <c r="C91" s="44"/>
      <c r="D91" s="44"/>
      <c r="E91" s="44"/>
      <c r="F91" s="44"/>
      <c r="G91" s="187"/>
      <c r="H91" s="188"/>
      <c r="I91" s="187"/>
      <c r="J91" s="189"/>
      <c r="K91" s="414"/>
      <c r="L91" s="187"/>
      <c r="M91" s="10"/>
    </row>
    <row r="92" spans="2:20" s="20" customFormat="1" ht="25" customHeight="1">
      <c r="B92" s="380" t="s">
        <v>349</v>
      </c>
      <c r="C92" s="51"/>
      <c r="D92" s="51"/>
      <c r="E92" s="52"/>
      <c r="F92" s="52"/>
      <c r="G92" s="45"/>
      <c r="H92" s="46"/>
      <c r="I92" s="45"/>
      <c r="J92" s="47"/>
      <c r="K92" s="389"/>
      <c r="L92" s="191"/>
      <c r="M92" s="10"/>
      <c r="O92" s="41"/>
      <c r="P92" s="41"/>
    </row>
    <row r="93" spans="2:20" s="41" customFormat="1" ht="25" customHeight="1">
      <c r="B93" s="159"/>
      <c r="C93" s="137"/>
      <c r="D93" s="137"/>
      <c r="E93" s="137"/>
      <c r="F93" s="137"/>
      <c r="G93" s="137"/>
      <c r="H93" s="54"/>
      <c r="I93" s="54"/>
      <c r="J93" s="54"/>
      <c r="K93" s="404"/>
      <c r="L93" s="160"/>
      <c r="M93" s="10"/>
      <c r="R93" s="53"/>
      <c r="T93" s="53"/>
    </row>
    <row r="94" spans="2:20" s="20" customFormat="1" ht="25" customHeight="1">
      <c r="B94" s="64" t="s">
        <v>274</v>
      </c>
      <c r="C94" s="192"/>
      <c r="D94" s="66"/>
      <c r="E94" s="66"/>
      <c r="F94" s="163"/>
      <c r="G94" s="66" t="s">
        <v>400</v>
      </c>
      <c r="H94" s="163"/>
      <c r="I94" s="164" t="s">
        <v>401</v>
      </c>
      <c r="J94" s="66"/>
      <c r="K94" s="406" t="s">
        <v>77</v>
      </c>
      <c r="L94" s="49"/>
      <c r="M94" s="10"/>
      <c r="N94" s="41"/>
    </row>
    <row r="95" spans="2:20" s="193" customFormat="1" ht="25" customHeight="1">
      <c r="B95" s="70" t="s">
        <v>78</v>
      </c>
      <c r="C95" s="169"/>
      <c r="D95" s="195"/>
      <c r="E95" s="195"/>
      <c r="F95" s="196"/>
      <c r="G95" s="415">
        <f>S3_archive.50_EUR</f>
        <v>31.15</v>
      </c>
      <c r="H95" s="196"/>
      <c r="I95" s="198"/>
      <c r="J95" s="199"/>
      <c r="K95" s="409">
        <f t="shared" ref="K95:K96" si="11">I95*G95</f>
        <v>0</v>
      </c>
      <c r="L95" s="201"/>
      <c r="M95" s="10"/>
      <c r="N95" s="150"/>
    </row>
    <row r="96" spans="2:20" s="41" customFormat="1" ht="25" customHeight="1">
      <c r="B96" s="145" t="s">
        <v>80</v>
      </c>
      <c r="D96" s="150"/>
      <c r="E96" s="150"/>
      <c r="F96" s="176"/>
      <c r="G96" s="416">
        <f>S3_storage50_EUR</f>
        <v>44.5</v>
      </c>
      <c r="H96" s="203"/>
      <c r="I96" s="204"/>
      <c r="J96" s="178"/>
      <c r="K96" s="412">
        <f t="shared" si="11"/>
        <v>0</v>
      </c>
      <c r="L96" s="54"/>
      <c r="M96" s="10"/>
      <c r="T96" s="53"/>
    </row>
    <row r="97" spans="2:19" s="84" customFormat="1" ht="25" customHeight="1">
      <c r="B97" s="85" t="s">
        <v>277</v>
      </c>
      <c r="C97" s="86"/>
      <c r="D97" s="86"/>
      <c r="E97" s="86"/>
      <c r="F97" s="86"/>
      <c r="G97" s="86"/>
      <c r="H97" s="86"/>
      <c r="I97" s="86"/>
      <c r="J97" s="86"/>
      <c r="K97" s="402">
        <f>SUM(K95:K96)</f>
        <v>0</v>
      </c>
      <c r="M97" s="10"/>
      <c r="P97" s="89"/>
      <c r="R97" s="89"/>
    </row>
    <row r="98" spans="2:19" ht="25" customHeight="1">
      <c r="B98" s="98"/>
      <c r="C98" s="99"/>
      <c r="D98" s="99"/>
      <c r="E98" s="99"/>
      <c r="F98" s="99"/>
      <c r="G98" s="100"/>
      <c r="H98" s="101"/>
      <c r="I98" s="101"/>
      <c r="M98" s="10"/>
      <c r="N98" s="53"/>
      <c r="O98" s="53"/>
      <c r="P98" s="69"/>
    </row>
    <row r="99" spans="2:19" s="122" customFormat="1" ht="25" hidden="1" customHeight="1">
      <c r="B99" s="205" t="s">
        <v>82</v>
      </c>
      <c r="C99" s="206"/>
      <c r="D99" s="206"/>
      <c r="E99" s="206"/>
      <c r="F99" s="206"/>
      <c r="G99" s="206"/>
      <c r="H99" s="207"/>
      <c r="I99" s="207"/>
      <c r="J99" s="207"/>
      <c r="K99" s="404"/>
      <c r="M99" s="10"/>
      <c r="N99" s="207"/>
      <c r="O99" s="207"/>
      <c r="P99" s="125"/>
      <c r="Q99" s="207"/>
      <c r="R99" s="126"/>
    </row>
    <row r="100" spans="2:19" s="20" customFormat="1" ht="25" hidden="1" customHeight="1">
      <c r="B100" s="64" t="s">
        <v>11</v>
      </c>
      <c r="C100" s="192" t="s">
        <v>76</v>
      </c>
      <c r="D100" s="538" t="s">
        <v>83</v>
      </c>
      <c r="E100" s="538"/>
      <c r="F100" s="538"/>
      <c r="G100" s="538"/>
      <c r="H100" s="538"/>
      <c r="I100" s="538"/>
      <c r="J100" s="66"/>
      <c r="K100" s="406"/>
      <c r="L100" s="49"/>
      <c r="M100" s="10"/>
      <c r="N100" s="41"/>
    </row>
    <row r="101" spans="2:19" s="193" customFormat="1" ht="25" hidden="1" customHeight="1">
      <c r="B101" s="151" t="s">
        <v>84</v>
      </c>
      <c r="C101" s="208"/>
      <c r="D101" s="209"/>
      <c r="E101" s="210">
        <f t="array" ref="E101">_xlfn.IFS(H101&lt;50,D102,H101&lt;100,D103,H101&lt;500,D104,H101&lt;1000,D105,H101&gt;999,D106)</f>
        <v>185</v>
      </c>
      <c r="F101" s="210"/>
      <c r="G101" s="210"/>
      <c r="H101" s="211">
        <v>600</v>
      </c>
      <c r="I101" s="212" t="s">
        <v>85</v>
      </c>
      <c r="J101" s="213"/>
      <c r="K101" s="417">
        <f t="array" ref="K101">_xlfn.IFS(H101&lt;1000,ROUNDUP(H101*E101,2),H101&gt;999,E101)</f>
        <v>111000</v>
      </c>
      <c r="L101" s="201"/>
      <c r="M101" s="10"/>
      <c r="N101" s="150"/>
    </row>
    <row r="102" spans="2:19" s="20" customFormat="1" ht="25" hidden="1" customHeight="1">
      <c r="B102" s="215" t="s">
        <v>84</v>
      </c>
      <c r="C102" s="216" t="s">
        <v>86</v>
      </c>
      <c r="D102" s="539">
        <f>S3_archive.50_SEK</f>
        <v>350</v>
      </c>
      <c r="E102" s="539"/>
      <c r="F102" s="539"/>
      <c r="G102" s="539"/>
      <c r="H102" s="539"/>
      <c r="I102" s="539"/>
      <c r="J102" s="217"/>
      <c r="K102" s="418"/>
      <c r="L102" s="49"/>
      <c r="M102" s="10"/>
      <c r="N102" s="41"/>
    </row>
    <row r="103" spans="2:19" s="20" customFormat="1" ht="25" hidden="1" customHeight="1">
      <c r="B103" s="219" t="s">
        <v>84</v>
      </c>
      <c r="C103" s="220" t="s">
        <v>87</v>
      </c>
      <c r="D103" s="540">
        <f>S3_archive.100_SEK</f>
        <v>270</v>
      </c>
      <c r="E103" s="540"/>
      <c r="F103" s="540"/>
      <c r="G103" s="540"/>
      <c r="H103" s="540"/>
      <c r="I103" s="540"/>
      <c r="J103" s="221"/>
      <c r="K103" s="419"/>
      <c r="L103" s="49"/>
      <c r="M103" s="10"/>
      <c r="N103" s="41"/>
    </row>
    <row r="104" spans="2:19" s="20" customFormat="1" ht="25" hidden="1" customHeight="1">
      <c r="B104" s="215" t="s">
        <v>84</v>
      </c>
      <c r="C104" s="216" t="s">
        <v>88</v>
      </c>
      <c r="D104" s="541">
        <f>S3_archive.500_SEK</f>
        <v>200</v>
      </c>
      <c r="E104" s="541"/>
      <c r="F104" s="541"/>
      <c r="G104" s="541"/>
      <c r="H104" s="541"/>
      <c r="I104" s="541"/>
      <c r="J104" s="223"/>
      <c r="K104" s="420"/>
      <c r="L104" s="49"/>
      <c r="M104" s="10"/>
      <c r="N104" s="41"/>
    </row>
    <row r="105" spans="2:19" s="20" customFormat="1" ht="25" hidden="1" customHeight="1">
      <c r="B105" s="219" t="s">
        <v>84</v>
      </c>
      <c r="C105" s="220" t="s">
        <v>89</v>
      </c>
      <c r="D105" s="540">
        <f>S3_archive.1000_SEK</f>
        <v>185</v>
      </c>
      <c r="E105" s="540"/>
      <c r="F105" s="540"/>
      <c r="G105" s="540"/>
      <c r="H105" s="540"/>
      <c r="I105" s="540"/>
      <c r="J105" s="221"/>
      <c r="K105" s="419"/>
      <c r="L105" s="49"/>
      <c r="M105" s="10"/>
      <c r="N105" s="41"/>
    </row>
    <row r="106" spans="2:19" s="20" customFormat="1" ht="25" hidden="1" customHeight="1">
      <c r="B106" s="225" t="s">
        <v>84</v>
      </c>
      <c r="C106" s="226" t="s">
        <v>90</v>
      </c>
      <c r="D106" s="542" t="str">
        <f>S3_archive.quote_SEK</f>
        <v>Be om offert</v>
      </c>
      <c r="E106" s="542"/>
      <c r="F106" s="542"/>
      <c r="G106" s="542"/>
      <c r="H106" s="542"/>
      <c r="I106" s="542"/>
      <c r="J106" s="227"/>
      <c r="K106" s="421"/>
      <c r="L106" s="49"/>
      <c r="M106" s="10"/>
      <c r="N106" s="41"/>
    </row>
    <row r="107" spans="2:19" s="20" customFormat="1" ht="25" hidden="1" customHeight="1">
      <c r="B107" s="119" t="s">
        <v>91</v>
      </c>
      <c r="C107" s="120"/>
      <c r="D107" s="120"/>
      <c r="E107" s="120"/>
      <c r="F107" s="93"/>
      <c r="G107" s="93"/>
      <c r="H107" s="94"/>
      <c r="I107" s="94"/>
      <c r="J107" s="92"/>
      <c r="K107" s="398">
        <f>K101</f>
        <v>111000</v>
      </c>
      <c r="L107" s="49"/>
      <c r="M107" s="10"/>
      <c r="N107" s="41"/>
    </row>
    <row r="108" spans="2:19" s="127" customFormat="1" ht="25" customHeight="1">
      <c r="B108" s="44"/>
      <c r="C108" s="120"/>
      <c r="D108" s="52"/>
      <c r="E108" s="52"/>
      <c r="F108" s="52"/>
      <c r="G108" s="45"/>
      <c r="H108" s="46"/>
      <c r="I108" s="94"/>
      <c r="J108" s="191"/>
      <c r="K108" s="389"/>
      <c r="L108" s="49"/>
      <c r="M108" s="10"/>
      <c r="N108" s="162"/>
      <c r="O108" s="162"/>
      <c r="P108" s="162"/>
      <c r="Q108" s="162"/>
      <c r="R108" s="162"/>
      <c r="S108" s="162"/>
    </row>
    <row r="109" spans="2:19" ht="25" customHeight="1">
      <c r="B109" s="229"/>
      <c r="C109" s="230"/>
      <c r="D109" s="230"/>
      <c r="E109" s="230"/>
      <c r="F109" s="231"/>
      <c r="G109" s="232"/>
      <c r="H109" s="181"/>
      <c r="I109" s="181"/>
      <c r="J109" s="181"/>
      <c r="K109" s="413"/>
      <c r="L109" s="183"/>
      <c r="M109" s="10"/>
      <c r="N109" s="41"/>
      <c r="Q109" s="20"/>
    </row>
    <row r="110" spans="2:19" s="20" customFormat="1" ht="25" customHeight="1">
      <c r="B110" s="534" t="s">
        <v>222</v>
      </c>
      <c r="C110" s="534"/>
      <c r="D110" s="534"/>
      <c r="E110" s="534"/>
      <c r="F110" s="534"/>
      <c r="G110" s="534"/>
      <c r="H110" s="37"/>
      <c r="J110" s="40"/>
      <c r="K110" s="388"/>
      <c r="L110" s="40"/>
      <c r="M110" s="10"/>
    </row>
    <row r="111" spans="2:19" s="20" customFormat="1" ht="25" customHeight="1">
      <c r="B111" s="534"/>
      <c r="C111" s="534"/>
      <c r="D111" s="534"/>
      <c r="E111" s="534"/>
      <c r="F111" s="534"/>
      <c r="G111" s="534"/>
      <c r="H111" s="37"/>
      <c r="J111" s="40"/>
      <c r="K111" s="388"/>
      <c r="L111" s="40"/>
      <c r="M111" s="10"/>
    </row>
    <row r="112" spans="2:19" s="20" customFormat="1" ht="25" customHeight="1">
      <c r="B112" s="534"/>
      <c r="C112" s="534"/>
      <c r="D112" s="534"/>
      <c r="E112" s="534"/>
      <c r="F112" s="534"/>
      <c r="G112" s="534"/>
      <c r="H112" s="37"/>
      <c r="J112" s="40"/>
      <c r="K112" s="388"/>
      <c r="L112" s="40"/>
      <c r="M112" s="10"/>
    </row>
    <row r="113" spans="2:32" s="20" customFormat="1" ht="25" customHeight="1">
      <c r="B113" s="42" t="s">
        <v>402</v>
      </c>
      <c r="C113" s="42"/>
      <c r="D113" s="42"/>
      <c r="E113" s="42"/>
      <c r="F113" s="42"/>
      <c r="H113" s="37"/>
      <c r="J113" s="40"/>
      <c r="K113" s="388"/>
      <c r="L113" s="40"/>
      <c r="M113" s="10"/>
    </row>
    <row r="114" spans="2:32" s="20" customFormat="1" ht="25" customHeight="1">
      <c r="B114" s="44" t="s">
        <v>273</v>
      </c>
      <c r="C114" s="44"/>
      <c r="D114" s="44"/>
      <c r="E114" s="44"/>
      <c r="F114" s="44"/>
      <c r="G114" s="45"/>
      <c r="H114" s="46"/>
      <c r="J114" s="47"/>
      <c r="K114" s="389"/>
      <c r="L114" s="49"/>
      <c r="M114" s="10"/>
      <c r="S114" s="41"/>
      <c r="T114" s="41"/>
      <c r="U114" s="41"/>
      <c r="V114" s="41"/>
      <c r="W114" s="41"/>
      <c r="X114" s="41"/>
      <c r="Y114" s="41"/>
      <c r="Z114" s="41"/>
    </row>
    <row r="115" spans="2:32" s="20" customFormat="1" ht="25" customHeight="1">
      <c r="B115" s="380" t="s">
        <v>349</v>
      </c>
      <c r="C115" s="51"/>
      <c r="D115" s="51"/>
      <c r="E115" s="52"/>
      <c r="F115" s="52"/>
      <c r="G115" s="45"/>
      <c r="H115" s="46"/>
      <c r="I115" s="45"/>
      <c r="J115" s="47"/>
      <c r="K115" s="389"/>
      <c r="L115" s="191"/>
      <c r="M115" s="10"/>
      <c r="O115" s="41"/>
      <c r="P115" s="41"/>
    </row>
    <row r="116" spans="2:32" s="127" customFormat="1" ht="25" customHeight="1">
      <c r="B116" s="233"/>
      <c r="C116" s="54"/>
      <c r="D116" s="54"/>
      <c r="E116" s="54"/>
      <c r="F116" s="54"/>
      <c r="G116" s="54"/>
      <c r="H116" s="54"/>
      <c r="I116" s="54"/>
      <c r="J116" s="54"/>
      <c r="K116" s="404"/>
      <c r="L116" s="54"/>
      <c r="M116" s="10"/>
      <c r="P116" s="162"/>
      <c r="Q116" s="162"/>
      <c r="R116" s="162"/>
      <c r="S116" s="162"/>
      <c r="T116" s="162"/>
      <c r="U116" s="162"/>
    </row>
    <row r="117" spans="2:32" ht="25" customHeight="1">
      <c r="B117" s="64" t="s">
        <v>274</v>
      </c>
      <c r="C117" s="234"/>
      <c r="D117" s="234"/>
      <c r="E117" s="66" t="s">
        <v>352</v>
      </c>
      <c r="F117" s="234"/>
      <c r="G117" s="66" t="s">
        <v>403</v>
      </c>
      <c r="H117" s="163"/>
      <c r="I117" s="164" t="s">
        <v>398</v>
      </c>
      <c r="J117" s="164" t="s">
        <v>404</v>
      </c>
      <c r="K117" s="406" t="s">
        <v>100</v>
      </c>
      <c r="L117" s="160"/>
      <c r="M117" s="10"/>
    </row>
    <row r="118" spans="2:32" ht="25" customHeight="1">
      <c r="B118" s="140" t="s">
        <v>101</v>
      </c>
      <c r="C118" s="169"/>
      <c r="D118" s="169"/>
      <c r="E118" s="235" t="s">
        <v>47</v>
      </c>
      <c r="F118" s="173"/>
      <c r="G118" s="422">
        <f>BAAS_on.demand_EUR</f>
        <v>0.21804999999999999</v>
      </c>
      <c r="H118" s="173"/>
      <c r="I118" s="198"/>
      <c r="J118" s="237" t="s">
        <v>47</v>
      </c>
      <c r="K118" s="409">
        <f>ROUNDUP(I118*G118,2)</f>
        <v>0</v>
      </c>
      <c r="L118" s="160"/>
      <c r="M118" s="10"/>
    </row>
    <row r="119" spans="2:32" ht="25" customHeight="1">
      <c r="B119" s="145" t="s">
        <v>102</v>
      </c>
      <c r="C119" s="150"/>
      <c r="D119" s="150"/>
      <c r="E119" s="423">
        <f>BAAS_small.fee_EUR</f>
        <v>489.5</v>
      </c>
      <c r="F119" s="178"/>
      <c r="G119" s="424">
        <f>BAAS_small_EUR</f>
        <v>0.15575</v>
      </c>
      <c r="H119" s="178"/>
      <c r="I119" s="239"/>
      <c r="J119" s="240">
        <v>0.75</v>
      </c>
      <c r="K119" s="412">
        <f>IF(I119&gt;0,$E$119+($G$119*(I119*(1-$J$119))),0)</f>
        <v>0</v>
      </c>
      <c r="L119" s="160"/>
      <c r="M119" s="10"/>
    </row>
    <row r="120" spans="2:32" s="241" customFormat="1" ht="25" customHeight="1">
      <c r="B120" s="151" t="s">
        <v>103</v>
      </c>
      <c r="C120" s="208"/>
      <c r="D120" s="208"/>
      <c r="E120" s="425">
        <f>BAAS_large.fee_EUR</f>
        <v>845.5</v>
      </c>
      <c r="F120" s="212"/>
      <c r="G120" s="422">
        <f>BAAS_large_EUR</f>
        <v>8.1879999999999994E-2</v>
      </c>
      <c r="H120" s="212"/>
      <c r="I120" s="211"/>
      <c r="J120" s="243">
        <v>0.75</v>
      </c>
      <c r="K120" s="417">
        <f>IF(I120&gt;0,$E$120+($G$120*(I120*(1-$J$120))),0)</f>
        <v>0</v>
      </c>
      <c r="L120" s="160"/>
      <c r="M120" s="10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2:32" s="84" customFormat="1" ht="25" customHeight="1">
      <c r="B121" s="85" t="s">
        <v>277</v>
      </c>
      <c r="C121" s="86"/>
      <c r="D121" s="86"/>
      <c r="E121" s="86"/>
      <c r="F121" s="86"/>
      <c r="G121" s="86"/>
      <c r="H121" s="86"/>
      <c r="I121" s="86" t="str">
        <f>SUM(I118:I120)&amp;" GB"</f>
        <v>0 GB</v>
      </c>
      <c r="J121" s="86"/>
      <c r="K121" s="402">
        <f>SUM(K118:K120)</f>
        <v>0</v>
      </c>
      <c r="M121" s="10"/>
      <c r="P121" s="89"/>
      <c r="R121" s="89"/>
    </row>
    <row r="122" spans="2:32" s="241" customFormat="1" ht="25" customHeight="1">
      <c r="B122" s="119"/>
      <c r="C122" s="120"/>
      <c r="D122" s="120"/>
      <c r="E122" s="120"/>
      <c r="F122" s="244"/>
      <c r="G122" s="94"/>
      <c r="H122" s="94"/>
      <c r="I122" s="94"/>
      <c r="J122" s="94"/>
      <c r="K122" s="426"/>
      <c r="L122" s="92"/>
      <c r="M122" s="10"/>
      <c r="O122" s="246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2:32" ht="25" customHeight="1">
      <c r="B123" s="229"/>
      <c r="C123" s="230"/>
      <c r="D123" s="230"/>
      <c r="E123" s="230"/>
      <c r="F123" s="231"/>
      <c r="G123" s="232"/>
      <c r="H123" s="181"/>
      <c r="I123" s="181"/>
      <c r="J123" s="181"/>
      <c r="K123" s="413"/>
      <c r="L123" s="201"/>
      <c r="M123" s="10"/>
      <c r="N123" s="41"/>
    </row>
    <row r="124" spans="2:32" ht="25" customHeight="1">
      <c r="B124" s="229"/>
      <c r="C124" s="230"/>
      <c r="D124" s="230"/>
      <c r="E124" s="230"/>
      <c r="F124" s="231"/>
      <c r="G124" s="232"/>
      <c r="H124" s="181"/>
      <c r="I124" s="181"/>
      <c r="J124" s="181"/>
      <c r="K124" s="413"/>
      <c r="L124" s="183"/>
      <c r="M124" s="10"/>
      <c r="N124" s="41"/>
      <c r="Q124" s="20"/>
    </row>
    <row r="125" spans="2:32" s="20" customFormat="1" ht="25" hidden="1" customHeight="1">
      <c r="B125" s="534" t="s">
        <v>104</v>
      </c>
      <c r="C125" s="534"/>
      <c r="D125" s="534"/>
      <c r="E125" s="534"/>
      <c r="F125" s="534"/>
      <c r="G125" s="534"/>
      <c r="H125" s="37"/>
      <c r="J125" s="40"/>
      <c r="K125" s="388"/>
      <c r="L125" s="40"/>
      <c r="M125" s="10"/>
    </row>
    <row r="126" spans="2:32" s="20" customFormat="1" ht="25" hidden="1" customHeight="1">
      <c r="B126" s="534"/>
      <c r="C126" s="534"/>
      <c r="D126" s="534"/>
      <c r="E126" s="534"/>
      <c r="F126" s="534"/>
      <c r="G126" s="534"/>
      <c r="H126" s="37"/>
      <c r="J126" s="40"/>
      <c r="K126" s="388"/>
      <c r="L126" s="40"/>
      <c r="M126" s="10"/>
    </row>
    <row r="127" spans="2:32" s="20" customFormat="1" ht="25" hidden="1" customHeight="1">
      <c r="B127" s="534"/>
      <c r="C127" s="534"/>
      <c r="D127" s="534"/>
      <c r="E127" s="534"/>
      <c r="F127" s="534"/>
      <c r="G127" s="534"/>
      <c r="H127" s="37"/>
      <c r="J127" s="40"/>
      <c r="K127" s="388"/>
      <c r="L127" s="40"/>
      <c r="M127" s="10"/>
    </row>
    <row r="128" spans="2:32" s="20" customFormat="1" ht="25" hidden="1" customHeight="1">
      <c r="B128" s="42" t="s">
        <v>347</v>
      </c>
      <c r="C128" s="247"/>
      <c r="D128" s="247"/>
      <c r="E128" s="247"/>
      <c r="F128" s="247"/>
      <c r="H128" s="37"/>
      <c r="J128" s="40"/>
      <c r="K128" s="388"/>
      <c r="L128" s="40"/>
      <c r="M128" s="10"/>
    </row>
    <row r="129" spans="2:32" s="20" customFormat="1" ht="25" hidden="1" customHeight="1">
      <c r="B129" s="44" t="s">
        <v>348</v>
      </c>
      <c r="C129" s="44"/>
      <c r="D129" s="44"/>
      <c r="E129" s="44"/>
      <c r="F129" s="44"/>
      <c r="G129" s="45"/>
      <c r="H129" s="46"/>
      <c r="J129" s="47"/>
      <c r="K129" s="389"/>
      <c r="L129" s="49"/>
      <c r="M129" s="10"/>
      <c r="S129" s="41"/>
      <c r="T129" s="41"/>
      <c r="U129" s="41"/>
      <c r="V129" s="41"/>
      <c r="W129" s="41"/>
      <c r="X129" s="41"/>
      <c r="Y129" s="41"/>
      <c r="Z129" s="41"/>
    </row>
    <row r="130" spans="2:32" s="20" customFormat="1" ht="25" hidden="1" customHeight="1">
      <c r="B130" s="380" t="s">
        <v>349</v>
      </c>
      <c r="C130" s="51"/>
      <c r="D130" s="51"/>
      <c r="E130" s="51"/>
      <c r="F130" s="52"/>
      <c r="G130" s="45"/>
      <c r="H130" s="46"/>
      <c r="I130" s="45"/>
      <c r="J130" s="47"/>
      <c r="K130" s="389"/>
      <c r="L130" s="191"/>
      <c r="M130" s="10"/>
      <c r="O130" s="41"/>
      <c r="P130" s="41"/>
    </row>
    <row r="131" spans="2:32" s="127" customFormat="1" ht="25" hidden="1" customHeight="1">
      <c r="B131" s="233"/>
      <c r="C131" s="54"/>
      <c r="D131" s="54"/>
      <c r="E131" s="54"/>
      <c r="F131" s="54"/>
      <c r="G131" s="54"/>
      <c r="H131" s="54"/>
      <c r="I131" s="54"/>
      <c r="J131" s="54"/>
      <c r="K131" s="404"/>
      <c r="L131" s="54"/>
      <c r="M131" s="10"/>
      <c r="P131" s="162"/>
      <c r="Q131" s="162"/>
      <c r="R131" s="162"/>
      <c r="S131" s="162"/>
      <c r="T131" s="162"/>
      <c r="U131" s="162"/>
    </row>
    <row r="132" spans="2:32" ht="25" hidden="1" customHeight="1">
      <c r="B132" s="64" t="s">
        <v>274</v>
      </c>
      <c r="C132" s="543" t="s">
        <v>350</v>
      </c>
      <c r="D132" s="543"/>
      <c r="E132" s="543" t="s">
        <v>351</v>
      </c>
      <c r="F132" s="543"/>
      <c r="G132" s="557" t="s">
        <v>352</v>
      </c>
      <c r="H132" s="557"/>
      <c r="I132" s="163"/>
      <c r="J132" s="163"/>
      <c r="K132" s="406" t="s">
        <v>109</v>
      </c>
      <c r="L132" s="160"/>
      <c r="M132" s="10"/>
    </row>
    <row r="133" spans="2:32" ht="25" hidden="1" customHeight="1">
      <c r="B133" s="248" t="s">
        <v>110</v>
      </c>
      <c r="C133" s="544" t="s">
        <v>111</v>
      </c>
      <c r="D133" s="544"/>
      <c r="E133" s="545" t="s">
        <v>353</v>
      </c>
      <c r="F133" s="545"/>
      <c r="G133" s="427" t="str">
        <f>PAAS_man.kubernetes_EUR</f>
        <v>Request a quote</v>
      </c>
      <c r="H133" s="428"/>
      <c r="I133" s="198"/>
      <c r="J133" s="249">
        <v>1</v>
      </c>
      <c r="K133" s="429" t="str">
        <f>IF(J133=1,G133," ")</f>
        <v>Request a quote</v>
      </c>
      <c r="L133" s="160"/>
      <c r="M133" s="10"/>
    </row>
    <row r="134" spans="2:32" ht="25" hidden="1" customHeight="1">
      <c r="B134" s="145" t="s">
        <v>113</v>
      </c>
      <c r="C134" s="551" t="s">
        <v>354</v>
      </c>
      <c r="D134" s="551"/>
      <c r="E134" s="552" t="s">
        <v>355</v>
      </c>
      <c r="F134" s="552"/>
      <c r="G134" s="430" t="str">
        <f>PAAS_man.kubernetes8_EUR</f>
        <v>Request a quote</v>
      </c>
      <c r="H134" s="431"/>
      <c r="I134" s="204"/>
      <c r="J134" s="178"/>
      <c r="K134" s="432" t="str">
        <f>IF(J133=3,G134," ")</f>
        <v xml:space="preserve"> </v>
      </c>
      <c r="L134" s="160"/>
      <c r="M134" s="10"/>
    </row>
    <row r="135" spans="2:32" s="84" customFormat="1" ht="25" hidden="1" customHeight="1">
      <c r="B135" s="85" t="s">
        <v>277</v>
      </c>
      <c r="C135" s="86"/>
      <c r="D135" s="86"/>
      <c r="E135" s="86"/>
      <c r="F135" s="86"/>
      <c r="G135" s="86"/>
      <c r="H135" s="86"/>
      <c r="I135" s="86"/>
      <c r="J135" s="86"/>
      <c r="K135" s="402">
        <f>SUM(K133:K134)</f>
        <v>0</v>
      </c>
      <c r="M135" s="10"/>
      <c r="P135" s="89"/>
      <c r="R135" s="89"/>
    </row>
    <row r="136" spans="2:32" s="241" customFormat="1" ht="25" hidden="1" customHeight="1">
      <c r="B136" s="119"/>
      <c r="C136" s="94"/>
      <c r="D136" s="93"/>
      <c r="E136" s="93"/>
      <c r="F136" s="93"/>
      <c r="G136" s="94"/>
      <c r="H136" s="94"/>
      <c r="I136" s="94"/>
      <c r="J136" s="94"/>
      <c r="K136" s="398"/>
      <c r="L136" s="160"/>
      <c r="M136" s="10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2:32" s="241" customFormat="1" ht="25" customHeight="1">
      <c r="B137" s="119"/>
      <c r="C137" s="120"/>
      <c r="D137" s="120"/>
      <c r="E137" s="120"/>
      <c r="F137" s="93"/>
      <c r="G137" s="94"/>
      <c r="H137" s="94"/>
      <c r="I137" s="94"/>
      <c r="J137" s="94"/>
      <c r="K137" s="426"/>
      <c r="L137" s="92"/>
      <c r="M137" s="10"/>
      <c r="O137" s="246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2:32" s="127" customFormat="1" ht="25" customHeight="1">
      <c r="B138" s="44"/>
      <c r="C138" s="120"/>
      <c r="D138" s="52"/>
      <c r="E138" s="52"/>
      <c r="F138" s="52"/>
      <c r="G138" s="45"/>
      <c r="H138" s="46"/>
      <c r="I138" s="45"/>
      <c r="J138" s="191"/>
      <c r="K138" s="389"/>
      <c r="L138" s="49"/>
      <c r="M138" s="10"/>
      <c r="N138" s="162"/>
      <c r="O138" s="162"/>
      <c r="P138" s="162"/>
      <c r="Q138" s="162"/>
      <c r="R138" s="162"/>
      <c r="S138" s="162"/>
    </row>
    <row r="139" spans="2:32" s="20" customFormat="1" ht="25" customHeight="1">
      <c r="B139" s="534" t="s">
        <v>285</v>
      </c>
      <c r="C139" s="534"/>
      <c r="D139" s="534"/>
      <c r="E139" s="534"/>
      <c r="F139" s="534"/>
      <c r="G139" s="534"/>
      <c r="H139" s="37"/>
      <c r="J139" s="40"/>
      <c r="K139" s="388"/>
      <c r="M139" s="10"/>
    </row>
    <row r="140" spans="2:32" s="20" customFormat="1" ht="25" customHeight="1">
      <c r="B140" s="534"/>
      <c r="C140" s="534"/>
      <c r="D140" s="534"/>
      <c r="E140" s="534"/>
      <c r="F140" s="534"/>
      <c r="G140" s="534"/>
      <c r="H140" s="37"/>
      <c r="J140" s="40"/>
      <c r="K140" s="388"/>
      <c r="M140" s="10"/>
    </row>
    <row r="141" spans="2:32" s="20" customFormat="1" ht="25" customHeight="1">
      <c r="B141" s="534"/>
      <c r="C141" s="534"/>
      <c r="D141" s="534"/>
      <c r="E141" s="534"/>
      <c r="F141" s="534"/>
      <c r="G141" s="534"/>
      <c r="H141" s="37"/>
      <c r="J141" s="40"/>
      <c r="K141" s="388"/>
      <c r="M141" s="10"/>
    </row>
    <row r="142" spans="2:32" s="20" customFormat="1" ht="25" customHeight="1">
      <c r="B142" s="44" t="s">
        <v>273</v>
      </c>
      <c r="C142" s="44"/>
      <c r="D142" s="44"/>
      <c r="E142" s="44"/>
      <c r="F142" s="44"/>
      <c r="G142" s="45"/>
      <c r="H142" s="46"/>
      <c r="J142" s="47"/>
      <c r="K142" s="389"/>
      <c r="L142" s="49"/>
      <c r="M142" s="10"/>
      <c r="S142" s="41"/>
      <c r="T142" s="41"/>
      <c r="U142" s="41"/>
      <c r="V142" s="41"/>
      <c r="W142" s="41"/>
      <c r="X142" s="41"/>
      <c r="Y142" s="41"/>
      <c r="Z142" s="41"/>
    </row>
    <row r="143" spans="2:32" s="20" customFormat="1" ht="25" customHeight="1">
      <c r="B143" s="44"/>
      <c r="C143" s="52"/>
      <c r="D143" s="52"/>
      <c r="E143" s="52"/>
      <c r="F143" s="52"/>
      <c r="G143" s="45"/>
      <c r="H143" s="46"/>
      <c r="I143" s="45"/>
      <c r="J143" s="47"/>
      <c r="K143" s="389"/>
      <c r="L143" s="45"/>
      <c r="M143" s="10"/>
    </row>
    <row r="144" spans="2:32" s="54" customFormat="1" ht="25" customHeight="1">
      <c r="B144" s="56" t="s">
        <v>286</v>
      </c>
      <c r="C144" s="52"/>
      <c r="D144" s="52"/>
      <c r="E144" s="52"/>
      <c r="F144" s="52"/>
      <c r="G144" s="45"/>
      <c r="H144" s="45"/>
      <c r="I144" s="45"/>
      <c r="J144" s="47"/>
      <c r="K144" s="389"/>
      <c r="L144" s="45"/>
      <c r="M144" s="10"/>
      <c r="N144" s="41"/>
      <c r="O144" s="41"/>
      <c r="P144" s="41"/>
      <c r="Q144" s="41"/>
      <c r="R144" s="41"/>
      <c r="S144" s="41"/>
    </row>
    <row r="145" spans="2:18" ht="25" customHeight="1">
      <c r="B145" s="161" t="s">
        <v>405</v>
      </c>
      <c r="M145" s="10"/>
    </row>
    <row r="146" spans="2:18" ht="25" customHeight="1">
      <c r="B146" s="252" t="s">
        <v>274</v>
      </c>
      <c r="C146" s="253" t="s">
        <v>287</v>
      </c>
      <c r="D146" s="253"/>
      <c r="E146" s="163" t="s">
        <v>282</v>
      </c>
      <c r="F146" s="163"/>
      <c r="G146" s="163"/>
      <c r="H146" s="163"/>
      <c r="I146" s="163"/>
      <c r="J146" s="253" t="s">
        <v>406</v>
      </c>
      <c r="K146" s="406" t="s">
        <v>278</v>
      </c>
      <c r="L146" s="110"/>
      <c r="M146" s="10"/>
      <c r="N146" s="183"/>
      <c r="O146" s="54"/>
    </row>
    <row r="147" spans="2:18" ht="25" customHeight="1">
      <c r="B147" s="140" t="s">
        <v>122</v>
      </c>
      <c r="C147" s="254" t="s">
        <v>123</v>
      </c>
      <c r="D147" s="254"/>
      <c r="E147" s="168" t="s">
        <v>241</v>
      </c>
      <c r="F147" s="173"/>
      <c r="G147" s="173"/>
      <c r="H147" s="173"/>
      <c r="I147" s="173"/>
      <c r="J147" s="255" t="s">
        <v>407</v>
      </c>
      <c r="K147" s="433">
        <f>NET_publicv4_EUR</f>
        <v>2.2250000000000001</v>
      </c>
      <c r="M147" s="10"/>
      <c r="N147" s="183"/>
      <c r="O147" s="54"/>
    </row>
    <row r="148" spans="2:18" ht="25" customHeight="1">
      <c r="B148" s="145" t="s">
        <v>126</v>
      </c>
      <c r="C148" s="256" t="s">
        <v>127</v>
      </c>
      <c r="D148" s="256"/>
      <c r="E148" s="41" t="s">
        <v>241</v>
      </c>
      <c r="F148" s="257"/>
      <c r="G148" s="257"/>
      <c r="H148" s="257"/>
      <c r="I148" s="257"/>
      <c r="J148" s="258" t="s">
        <v>47</v>
      </c>
      <c r="K148" s="434">
        <f>NET_publicv6_EUR</f>
        <v>0</v>
      </c>
      <c r="M148" s="10"/>
      <c r="N148" s="183"/>
      <c r="O148" s="54"/>
    </row>
    <row r="149" spans="2:18" ht="25" customHeight="1">
      <c r="B149" s="140" t="s">
        <v>128</v>
      </c>
      <c r="C149" s="254" t="s">
        <v>291</v>
      </c>
      <c r="D149" s="254"/>
      <c r="E149" s="260"/>
      <c r="F149" s="261"/>
      <c r="G149" s="261"/>
      <c r="H149" s="261"/>
      <c r="I149" s="261"/>
      <c r="J149" s="263" t="s">
        <v>47</v>
      </c>
      <c r="K149" s="433">
        <f>NET_ingress_EUR</f>
        <v>0</v>
      </c>
      <c r="M149" s="10"/>
      <c r="N149" s="183"/>
      <c r="O149" s="54"/>
    </row>
    <row r="150" spans="2:18" ht="25" customHeight="1">
      <c r="B150" s="145" t="s">
        <v>130</v>
      </c>
      <c r="C150" s="256" t="s">
        <v>291</v>
      </c>
      <c r="D150" s="256"/>
      <c r="E150" s="41"/>
      <c r="F150" s="257"/>
      <c r="G150" s="257"/>
      <c r="H150" s="257"/>
      <c r="I150" s="257"/>
      <c r="J150" s="258" t="s">
        <v>47</v>
      </c>
      <c r="K150" s="434">
        <f>NET_egress_EUR</f>
        <v>0</v>
      </c>
      <c r="M150" s="10"/>
      <c r="N150" s="183"/>
      <c r="O150" s="54"/>
    </row>
    <row r="151" spans="2:18" ht="25" customHeight="1">
      <c r="B151" s="140" t="s">
        <v>131</v>
      </c>
      <c r="C151" s="254" t="s">
        <v>132</v>
      </c>
      <c r="D151" s="254"/>
      <c r="E151" s="527" t="s">
        <v>476</v>
      </c>
      <c r="F151" s="261"/>
      <c r="G151" s="261"/>
      <c r="H151" s="261"/>
      <c r="I151" s="261"/>
      <c r="J151" s="255" t="s">
        <v>294</v>
      </c>
      <c r="K151" s="528">
        <f>NET_mgn.slb_EUR</f>
        <v>186</v>
      </c>
      <c r="M151" s="10"/>
    </row>
    <row r="152" spans="2:18" ht="25" customHeight="1">
      <c r="B152" s="145" t="s">
        <v>134</v>
      </c>
      <c r="C152" s="256" t="s">
        <v>135</v>
      </c>
      <c r="D152" s="256"/>
      <c r="E152" s="41"/>
      <c r="F152" s="257"/>
      <c r="G152" s="257"/>
      <c r="H152" s="257"/>
      <c r="I152" s="257"/>
      <c r="J152" s="258" t="s">
        <v>47</v>
      </c>
      <c r="K152" s="434">
        <f>NET_rdns_EUR</f>
        <v>0</v>
      </c>
      <c r="M152" s="10"/>
      <c r="N152" s="183"/>
      <c r="O152" s="54"/>
    </row>
    <row r="153" spans="2:18" ht="25" customHeight="1">
      <c r="B153" s="140" t="s">
        <v>136</v>
      </c>
      <c r="C153" s="254" t="s">
        <v>137</v>
      </c>
      <c r="D153" s="254"/>
      <c r="E153" s="173"/>
      <c r="F153" s="261"/>
      <c r="G153" s="261"/>
      <c r="H153" s="261"/>
      <c r="I153" s="261"/>
      <c r="J153" s="263" t="s">
        <v>47</v>
      </c>
      <c r="K153" s="433">
        <v>0</v>
      </c>
      <c r="M153" s="10"/>
      <c r="N153" s="183"/>
      <c r="O153" s="54"/>
    </row>
    <row r="154" spans="2:18" ht="25" customHeight="1">
      <c r="B154" s="264"/>
      <c r="C154" s="265"/>
      <c r="D154" s="266"/>
      <c r="E154" s="266"/>
      <c r="F154" s="266"/>
      <c r="G154" s="266"/>
      <c r="H154" s="266"/>
      <c r="I154" s="266"/>
      <c r="J154" s="265"/>
      <c r="K154" s="435"/>
      <c r="M154" s="10"/>
      <c r="N154" s="183"/>
      <c r="O154" s="54"/>
    </row>
    <row r="155" spans="2:18" ht="25" customHeight="1">
      <c r="C155" s="268"/>
      <c r="J155" s="268"/>
      <c r="M155" s="10"/>
      <c r="N155" s="183"/>
      <c r="O155" s="54"/>
    </row>
    <row r="156" spans="2:18" ht="25" customHeight="1">
      <c r="C156" s="268"/>
      <c r="J156" s="268"/>
      <c r="M156" s="10"/>
      <c r="N156" s="183"/>
      <c r="O156" s="54"/>
    </row>
    <row r="157" spans="2:18" ht="25" customHeight="1">
      <c r="B157" s="56" t="s">
        <v>408</v>
      </c>
      <c r="C157" s="110"/>
      <c r="D157" s="110"/>
      <c r="E157" s="110"/>
      <c r="F157" s="110"/>
      <c r="G157" s="110"/>
      <c r="H157" s="110"/>
      <c r="I157" s="110"/>
      <c r="J157" s="269"/>
      <c r="M157" s="10"/>
      <c r="N157" s="183"/>
      <c r="O157" s="54"/>
    </row>
    <row r="158" spans="2:18" ht="25" customHeight="1">
      <c r="B158" s="161" t="s">
        <v>409</v>
      </c>
      <c r="J158" s="383"/>
      <c r="M158" s="10"/>
    </row>
    <row r="159" spans="2:18" ht="25" customHeight="1">
      <c r="B159" s="252" t="s">
        <v>274</v>
      </c>
      <c r="C159" s="253"/>
      <c r="D159" s="253"/>
      <c r="E159" s="163" t="s">
        <v>282</v>
      </c>
      <c r="F159" s="163"/>
      <c r="G159" s="163"/>
      <c r="H159" s="163"/>
      <c r="I159" s="163"/>
      <c r="J159" s="253" t="s">
        <v>406</v>
      </c>
      <c r="K159" s="406" t="s">
        <v>278</v>
      </c>
      <c r="M159" s="10"/>
      <c r="N159" s="183"/>
      <c r="O159" s="54"/>
    </row>
    <row r="160" spans="2:18" ht="25" customHeight="1">
      <c r="B160" s="140" t="s">
        <v>140</v>
      </c>
      <c r="C160" s="254"/>
      <c r="D160" s="173"/>
      <c r="E160" s="173" t="s">
        <v>141</v>
      </c>
      <c r="F160" s="173"/>
      <c r="G160" s="173"/>
      <c r="H160" s="173"/>
      <c r="I160" s="173"/>
      <c r="J160" s="255" t="s">
        <v>12</v>
      </c>
      <c r="K160" s="433">
        <f>SW_win.ser.201X_EUR</f>
        <v>15.574999999999999</v>
      </c>
      <c r="L160" s="181"/>
      <c r="M160" s="10"/>
      <c r="N160" s="183"/>
      <c r="O160" s="54"/>
      <c r="Q160" s="41"/>
      <c r="R160" s="41"/>
    </row>
    <row r="161" spans="2:20" ht="25" customHeight="1">
      <c r="B161" s="145" t="s">
        <v>142</v>
      </c>
      <c r="C161" s="256"/>
      <c r="D161" s="178"/>
      <c r="E161" s="178" t="s">
        <v>143</v>
      </c>
      <c r="F161" s="257"/>
      <c r="G161" s="257"/>
      <c r="H161" s="257"/>
      <c r="I161" s="257"/>
      <c r="J161" s="262" t="s">
        <v>12</v>
      </c>
      <c r="K161" s="434">
        <f>SW_ms.sql.ser_EUR</f>
        <v>109.381</v>
      </c>
      <c r="L161" s="181"/>
      <c r="M161" s="10"/>
      <c r="N161" s="183"/>
      <c r="O161" s="54"/>
      <c r="Q161" s="41"/>
      <c r="R161" s="41"/>
    </row>
    <row r="162" spans="2:20" ht="25" customHeight="1">
      <c r="B162" s="140" t="s">
        <v>144</v>
      </c>
      <c r="C162" s="254"/>
      <c r="D162" s="173"/>
      <c r="E162" s="173" t="s">
        <v>145</v>
      </c>
      <c r="F162" s="173"/>
      <c r="G162" s="173"/>
      <c r="H162" s="173"/>
      <c r="I162" s="173"/>
      <c r="J162" s="255" t="s">
        <v>12</v>
      </c>
      <c r="K162" s="433">
        <f>SW_ms.sql.ser.ent_EUR</f>
        <v>424.17399999999998</v>
      </c>
      <c r="L162" s="181"/>
      <c r="M162" s="10"/>
      <c r="N162" s="183"/>
      <c r="O162" s="54"/>
      <c r="Q162" s="41"/>
      <c r="R162" s="41"/>
    </row>
    <row r="163" spans="2:20" s="20" customFormat="1" ht="25" customHeight="1">
      <c r="B163" s="145" t="s">
        <v>146</v>
      </c>
      <c r="C163" s="256"/>
      <c r="D163" s="178"/>
      <c r="E163" s="178" t="s">
        <v>147</v>
      </c>
      <c r="F163" s="257"/>
      <c r="G163" s="257"/>
      <c r="H163" s="257"/>
      <c r="I163" s="257"/>
      <c r="J163" s="530" t="s">
        <v>478</v>
      </c>
      <c r="K163" s="434">
        <f>SW_nextcloud_EUR</f>
        <v>6</v>
      </c>
      <c r="M163" s="10"/>
      <c r="N163" s="183"/>
      <c r="O163" s="54"/>
    </row>
    <row r="164" spans="2:20" ht="25" customHeight="1">
      <c r="B164" s="270"/>
      <c r="C164" s="271"/>
      <c r="D164" s="279"/>
      <c r="E164" s="272"/>
      <c r="F164" s="273"/>
      <c r="G164" s="273"/>
      <c r="H164" s="273"/>
      <c r="I164" s="273"/>
      <c r="J164" s="274"/>
      <c r="K164" s="436"/>
      <c r="M164" s="10"/>
      <c r="N164" s="183"/>
      <c r="O164" s="54"/>
    </row>
    <row r="165" spans="2:20" ht="25" customHeight="1">
      <c r="B165" s="145"/>
      <c r="C165" s="256"/>
      <c r="D165" s="178"/>
      <c r="E165" s="238"/>
      <c r="F165" s="257"/>
      <c r="G165" s="276"/>
      <c r="H165" s="262"/>
      <c r="I165" s="280"/>
      <c r="M165" s="10"/>
    </row>
    <row r="166" spans="2:20" ht="25" customHeight="1">
      <c r="B166" s="281"/>
      <c r="C166" s="230"/>
      <c r="D166" s="230"/>
      <c r="E166" s="230"/>
      <c r="F166" s="231"/>
      <c r="G166" s="232"/>
      <c r="H166" s="230"/>
      <c r="I166" s="181"/>
      <c r="J166" s="181"/>
      <c r="K166" s="413"/>
      <c r="L166" s="183"/>
      <c r="M166" s="10"/>
      <c r="N166" s="41"/>
      <c r="O166" s="41"/>
    </row>
    <row r="167" spans="2:20" s="20" customFormat="1" ht="25" customHeight="1">
      <c r="B167" s="534" t="s">
        <v>150</v>
      </c>
      <c r="C167" s="534"/>
      <c r="D167" s="534"/>
      <c r="E167" s="534"/>
      <c r="F167" s="534"/>
      <c r="G167" s="534"/>
      <c r="H167" s="534"/>
      <c r="I167" s="534"/>
      <c r="J167" s="534"/>
      <c r="K167" s="534"/>
      <c r="M167" s="10"/>
    </row>
    <row r="168" spans="2:20" s="20" customFormat="1" ht="25" customHeight="1">
      <c r="B168" s="534"/>
      <c r="C168" s="534"/>
      <c r="D168" s="534"/>
      <c r="E168" s="534"/>
      <c r="F168" s="534"/>
      <c r="G168" s="534"/>
      <c r="H168" s="534"/>
      <c r="I168" s="534"/>
      <c r="J168" s="534"/>
      <c r="K168" s="534"/>
      <c r="M168" s="10"/>
    </row>
    <row r="169" spans="2:20" s="20" customFormat="1" ht="25" customHeight="1">
      <c r="B169" s="534"/>
      <c r="C169" s="534"/>
      <c r="D169" s="534"/>
      <c r="E169" s="534"/>
      <c r="F169" s="534"/>
      <c r="G169" s="534"/>
      <c r="H169" s="534"/>
      <c r="I169" s="534"/>
      <c r="J169" s="534"/>
      <c r="K169" s="534"/>
      <c r="M169" s="10"/>
    </row>
    <row r="170" spans="2:20" s="20" customFormat="1" ht="25" customHeight="1">
      <c r="B170" s="548" t="s">
        <v>410</v>
      </c>
      <c r="C170" s="548"/>
      <c r="D170" s="548"/>
      <c r="E170" s="548"/>
      <c r="F170" s="548"/>
      <c r="H170" s="282"/>
      <c r="J170" s="40"/>
      <c r="K170" s="388"/>
      <c r="M170" s="10"/>
    </row>
    <row r="171" spans="2:20" s="20" customFormat="1" ht="25" customHeight="1">
      <c r="B171" s="535" t="s">
        <v>411</v>
      </c>
      <c r="C171" s="535"/>
      <c r="D171" s="535"/>
      <c r="E171" s="535"/>
      <c r="F171" s="535"/>
      <c r="G171" s="45"/>
      <c r="H171" s="46"/>
      <c r="I171" s="45"/>
      <c r="J171" s="47"/>
      <c r="K171" s="389"/>
      <c r="L171" s="45"/>
      <c r="M171" s="10"/>
    </row>
    <row r="172" spans="2:20" s="20" customFormat="1" ht="25" customHeight="1">
      <c r="B172" s="44"/>
      <c r="C172" s="52"/>
      <c r="D172" s="52"/>
      <c r="E172" s="52"/>
      <c r="F172" s="52"/>
      <c r="G172" s="45"/>
      <c r="H172" s="46"/>
      <c r="I172" s="45"/>
      <c r="J172" s="47"/>
      <c r="K172" s="389"/>
      <c r="L172" s="45"/>
      <c r="M172" s="10"/>
    </row>
    <row r="173" spans="2:20" ht="25" customHeight="1">
      <c r="B173" s="56" t="s">
        <v>150</v>
      </c>
      <c r="C173" s="110"/>
      <c r="D173" s="110"/>
      <c r="F173" s="110"/>
      <c r="G173" s="110"/>
      <c r="H173" s="110"/>
      <c r="I173" s="110"/>
      <c r="J173" s="110"/>
      <c r="K173" s="437"/>
      <c r="L173" s="110"/>
      <c r="M173" s="10"/>
      <c r="O173" s="183"/>
      <c r="P173" s="183"/>
      <c r="Q173" s="54"/>
      <c r="S173" s="41"/>
      <c r="T173" s="41"/>
    </row>
    <row r="174" spans="2:20" ht="25" customHeight="1">
      <c r="B174" s="161" t="s">
        <v>412</v>
      </c>
      <c r="M174" s="10"/>
    </row>
    <row r="175" spans="2:20" ht="25" customHeight="1">
      <c r="B175" s="252" t="s">
        <v>274</v>
      </c>
      <c r="C175" s="253"/>
      <c r="D175" s="163" t="s">
        <v>282</v>
      </c>
      <c r="E175" s="163"/>
      <c r="F175" s="163"/>
      <c r="G175" s="163"/>
      <c r="H175" s="163"/>
      <c r="I175" s="253" t="s">
        <v>406</v>
      </c>
      <c r="J175" s="253"/>
      <c r="K175" s="406" t="s">
        <v>278</v>
      </c>
      <c r="L175" s="181"/>
      <c r="M175" s="10"/>
      <c r="N175" s="183"/>
      <c r="O175" s="54"/>
      <c r="Q175" s="41"/>
      <c r="R175" s="41"/>
    </row>
    <row r="176" spans="2:20" ht="25" customHeight="1">
      <c r="B176" s="140" t="s">
        <v>153</v>
      </c>
      <c r="C176" s="254"/>
      <c r="D176" s="173" t="s">
        <v>413</v>
      </c>
      <c r="E176" s="277"/>
      <c r="F176" s="173"/>
      <c r="G176" s="277"/>
      <c r="H176" s="277"/>
      <c r="I176" s="263" t="s">
        <v>47</v>
      </c>
      <c r="J176" s="263"/>
      <c r="K176" s="409">
        <v>0</v>
      </c>
      <c r="L176" s="181"/>
      <c r="M176" s="10"/>
      <c r="N176" s="183"/>
      <c r="O176" s="54"/>
      <c r="Q176" s="41"/>
      <c r="R176" s="41"/>
    </row>
    <row r="177" spans="2:18" ht="25" customHeight="1">
      <c r="B177" s="145" t="s">
        <v>155</v>
      </c>
      <c r="C177" s="256"/>
      <c r="D177" s="178" t="s">
        <v>414</v>
      </c>
      <c r="E177" s="238"/>
      <c r="F177" s="257"/>
      <c r="G177" s="276"/>
      <c r="H177" s="276"/>
      <c r="I177" s="262" t="s">
        <v>308</v>
      </c>
      <c r="J177" s="262"/>
      <c r="K177" s="412" t="s">
        <v>415</v>
      </c>
      <c r="L177" s="181"/>
      <c r="M177" s="10"/>
      <c r="N177" s="183"/>
      <c r="O177" s="54"/>
      <c r="Q177" s="41"/>
      <c r="R177" s="41"/>
    </row>
    <row r="178" spans="2:18" ht="25" customHeight="1">
      <c r="B178" s="140" t="s">
        <v>159</v>
      </c>
      <c r="C178" s="254"/>
      <c r="D178" s="173" t="s">
        <v>309</v>
      </c>
      <c r="E178" s="254"/>
      <c r="F178" s="254"/>
      <c r="G178" s="254"/>
      <c r="H178" s="277"/>
      <c r="I178" s="532" t="s">
        <v>481</v>
      </c>
      <c r="J178" s="255"/>
      <c r="K178" s="409">
        <v>2140</v>
      </c>
      <c r="L178" s="181"/>
      <c r="M178" s="10"/>
      <c r="N178" s="183"/>
      <c r="O178" s="54"/>
      <c r="Q178" s="41"/>
      <c r="R178" s="41"/>
    </row>
    <row r="179" spans="2:18" ht="25" customHeight="1">
      <c r="B179" s="270"/>
      <c r="C179" s="271"/>
      <c r="D179" s="271"/>
      <c r="E179" s="272"/>
      <c r="F179" s="273"/>
      <c r="G179" s="274"/>
      <c r="H179" s="274"/>
      <c r="I179" s="284"/>
      <c r="J179" s="284"/>
      <c r="K179" s="436"/>
      <c r="L179" s="181"/>
      <c r="M179" s="10"/>
      <c r="N179" s="183"/>
      <c r="O179" s="54"/>
      <c r="Q179" s="41"/>
      <c r="R179" s="41"/>
    </row>
    <row r="180" spans="2:18" ht="25" customHeight="1">
      <c r="B180" s="145"/>
      <c r="C180" s="256"/>
      <c r="D180" s="178"/>
      <c r="E180" s="238"/>
      <c r="F180" s="257"/>
      <c r="G180" s="276"/>
      <c r="H180" s="276"/>
      <c r="I180" s="262"/>
      <c r="J180" s="262"/>
      <c r="K180" s="412"/>
      <c r="L180" s="181"/>
      <c r="M180" s="10"/>
      <c r="N180" s="183"/>
      <c r="O180" s="54"/>
      <c r="Q180" s="41"/>
      <c r="R180" s="41"/>
    </row>
    <row r="181" spans="2:18" s="63" customFormat="1" ht="25" hidden="1" customHeight="1">
      <c r="B181" s="56" t="s">
        <v>417</v>
      </c>
      <c r="C181" s="285"/>
      <c r="D181" s="285"/>
      <c r="F181" s="285"/>
      <c r="G181" s="285"/>
      <c r="H181" s="285"/>
      <c r="I181" s="286"/>
      <c r="J181" s="286"/>
      <c r="K181" s="438"/>
      <c r="L181" s="288"/>
      <c r="M181" s="10"/>
      <c r="N181" s="289"/>
      <c r="O181" s="290"/>
      <c r="Q181" s="290"/>
      <c r="R181" s="290"/>
    </row>
    <row r="182" spans="2:18" ht="25" hidden="1" customHeight="1">
      <c r="B182" s="161" t="s">
        <v>418</v>
      </c>
      <c r="M182" s="10"/>
    </row>
    <row r="183" spans="2:18" ht="25" hidden="1" customHeight="1">
      <c r="B183" s="252" t="s">
        <v>274</v>
      </c>
      <c r="C183" s="253"/>
      <c r="D183" s="163" t="s">
        <v>282</v>
      </c>
      <c r="E183" s="163"/>
      <c r="F183" s="163"/>
      <c r="G183" s="163"/>
      <c r="H183" s="163"/>
      <c r="I183" s="253" t="s">
        <v>406</v>
      </c>
      <c r="J183" s="253"/>
      <c r="K183" s="406" t="s">
        <v>278</v>
      </c>
      <c r="L183" s="181"/>
      <c r="M183" s="10"/>
      <c r="N183" s="183"/>
      <c r="O183" s="54"/>
      <c r="Q183" s="41"/>
      <c r="R183" s="41"/>
    </row>
    <row r="184" spans="2:18" ht="25" hidden="1" customHeight="1">
      <c r="B184" s="140" t="s">
        <v>164</v>
      </c>
      <c r="C184" s="254"/>
      <c r="D184" s="173" t="s">
        <v>165</v>
      </c>
      <c r="E184" s="277"/>
      <c r="F184" s="173"/>
      <c r="G184" s="277"/>
      <c r="H184" s="277"/>
      <c r="I184" s="255" t="s">
        <v>310</v>
      </c>
      <c r="J184" s="255"/>
      <c r="K184" s="409">
        <f>PS_consult.jun_EUR</f>
        <v>100.303</v>
      </c>
      <c r="L184" s="181"/>
      <c r="M184" s="10"/>
      <c r="N184" s="183"/>
      <c r="O184" s="54"/>
      <c r="Q184" s="41"/>
      <c r="R184" s="41"/>
    </row>
    <row r="185" spans="2:18" ht="25" hidden="1" customHeight="1">
      <c r="B185" s="145" t="s">
        <v>166</v>
      </c>
      <c r="C185" s="256"/>
      <c r="D185" s="178" t="s">
        <v>167</v>
      </c>
      <c r="E185" s="238"/>
      <c r="F185" s="257"/>
      <c r="G185" s="276"/>
      <c r="H185" s="276"/>
      <c r="I185" s="262" t="s">
        <v>310</v>
      </c>
      <c r="J185" s="262"/>
      <c r="K185" s="412">
        <f>PS_consult.sen_EUR</f>
        <v>122.28599999999999</v>
      </c>
      <c r="L185" s="181"/>
      <c r="M185" s="10"/>
      <c r="N185" s="183"/>
      <c r="O185" s="54"/>
      <c r="Q185" s="41"/>
      <c r="R185" s="41"/>
    </row>
    <row r="186" spans="2:18" ht="25" hidden="1" customHeight="1">
      <c r="B186" s="140" t="s">
        <v>168</v>
      </c>
      <c r="C186" s="254"/>
      <c r="D186" s="173" t="s">
        <v>169</v>
      </c>
      <c r="E186" s="277"/>
      <c r="F186" s="173"/>
      <c r="G186" s="277"/>
      <c r="H186" s="277"/>
      <c r="I186" s="255" t="s">
        <v>310</v>
      </c>
      <c r="J186" s="255"/>
      <c r="K186" s="409">
        <f>PS_cloudarch.jun_EUR</f>
        <v>113.65299999999999</v>
      </c>
      <c r="L186" s="181"/>
      <c r="M186" s="10"/>
      <c r="N186" s="183"/>
      <c r="O186" s="54"/>
      <c r="Q186" s="41"/>
      <c r="R186" s="41"/>
    </row>
    <row r="187" spans="2:18" ht="25" hidden="1" customHeight="1">
      <c r="B187" s="145" t="s">
        <v>170</v>
      </c>
      <c r="C187" s="256"/>
      <c r="D187" s="178" t="s">
        <v>171</v>
      </c>
      <c r="E187" s="178"/>
      <c r="F187" s="178"/>
      <c r="G187" s="276"/>
      <c r="H187" s="276"/>
      <c r="I187" s="262" t="s">
        <v>310</v>
      </c>
      <c r="J187" s="262"/>
      <c r="K187" s="412">
        <f>PS_cloudarch.sen_EUR</f>
        <v>122.28599999999999</v>
      </c>
      <c r="L187" s="181"/>
      <c r="M187" s="10"/>
      <c r="N187" s="183"/>
      <c r="O187" s="54"/>
      <c r="Q187" s="41"/>
      <c r="R187" s="41"/>
    </row>
    <row r="188" spans="2:18" ht="25" hidden="1" customHeight="1">
      <c r="B188" s="140" t="s">
        <v>172</v>
      </c>
      <c r="C188" s="254"/>
      <c r="D188" s="173" t="s">
        <v>173</v>
      </c>
      <c r="E188" s="277"/>
      <c r="F188" s="173"/>
      <c r="G188" s="277"/>
      <c r="H188" s="277"/>
      <c r="I188" s="255" t="s">
        <v>310</v>
      </c>
      <c r="J188" s="255"/>
      <c r="K188" s="409">
        <f>PS_pm.jun_EUR</f>
        <v>101.371</v>
      </c>
      <c r="L188" s="181"/>
      <c r="M188" s="10"/>
      <c r="N188" s="183"/>
      <c r="O188" s="54"/>
      <c r="Q188" s="41"/>
      <c r="R188" s="41"/>
    </row>
    <row r="189" spans="2:18" ht="25" hidden="1" customHeight="1">
      <c r="B189" s="145" t="s">
        <v>174</v>
      </c>
      <c r="C189" s="256"/>
      <c r="D189" s="178" t="s">
        <v>175</v>
      </c>
      <c r="E189" s="238"/>
      <c r="F189" s="257"/>
      <c r="G189" s="276"/>
      <c r="H189" s="276"/>
      <c r="I189" s="262" t="s">
        <v>310</v>
      </c>
      <c r="J189" s="262"/>
      <c r="K189" s="412">
        <f>PS_pm.sen_EUR</f>
        <v>122.28599999999999</v>
      </c>
      <c r="L189" s="181"/>
      <c r="M189" s="10"/>
      <c r="N189" s="183"/>
      <c r="O189" s="54"/>
      <c r="Q189" s="41"/>
      <c r="R189" s="41"/>
    </row>
    <row r="190" spans="2:18" ht="25" hidden="1" customHeight="1">
      <c r="B190" s="270"/>
      <c r="C190" s="271"/>
      <c r="D190" s="279"/>
      <c r="E190" s="272"/>
      <c r="F190" s="273"/>
      <c r="G190" s="274"/>
      <c r="H190" s="274"/>
      <c r="I190" s="284"/>
      <c r="J190" s="284"/>
      <c r="K190" s="436"/>
      <c r="L190" s="181"/>
      <c r="M190" s="10"/>
      <c r="N190" s="183"/>
      <c r="O190" s="54"/>
      <c r="Q190" s="41"/>
      <c r="R190" s="41"/>
    </row>
    <row r="191" spans="2:18" ht="25" hidden="1" customHeight="1">
      <c r="B191" s="145"/>
      <c r="C191" s="256"/>
      <c r="D191" s="178"/>
      <c r="E191" s="238"/>
      <c r="F191" s="257"/>
      <c r="G191" s="276"/>
      <c r="H191" s="276"/>
      <c r="I191" s="262"/>
      <c r="J191" s="262"/>
      <c r="K191" s="412"/>
      <c r="M191" s="10"/>
      <c r="N191" s="183"/>
      <c r="O191" s="54"/>
    </row>
    <row r="192" spans="2:18" ht="25" customHeight="1">
      <c r="B192" s="56" t="s">
        <v>419</v>
      </c>
      <c r="C192" s="110"/>
      <c r="D192" s="110"/>
      <c r="F192" s="110"/>
      <c r="G192" s="110"/>
      <c r="H192" s="110"/>
      <c r="I192" s="269"/>
      <c r="J192" s="269"/>
      <c r="L192" s="181"/>
      <c r="M192" s="10"/>
      <c r="N192" s="183"/>
      <c r="O192" s="54"/>
      <c r="Q192" s="41"/>
      <c r="R192" s="41"/>
    </row>
    <row r="193" spans="1:18" ht="25" customHeight="1">
      <c r="B193" s="161" t="s">
        <v>420</v>
      </c>
      <c r="M193" s="10"/>
    </row>
    <row r="194" spans="1:18" ht="25" customHeight="1">
      <c r="B194" s="252" t="s">
        <v>274</v>
      </c>
      <c r="C194" s="253"/>
      <c r="D194" s="163" t="s">
        <v>282</v>
      </c>
      <c r="E194" s="107"/>
      <c r="F194" s="163"/>
      <c r="G194" s="66" t="s">
        <v>317</v>
      </c>
      <c r="H194" s="253"/>
      <c r="I194" s="107" t="s">
        <v>406</v>
      </c>
      <c r="J194" s="253"/>
      <c r="K194" s="406" t="s">
        <v>318</v>
      </c>
      <c r="L194" s="181"/>
      <c r="M194" s="10"/>
      <c r="N194" s="183"/>
      <c r="O194" s="54"/>
      <c r="Q194" s="41"/>
      <c r="R194" s="41"/>
    </row>
    <row r="195" spans="1:18" ht="25" customHeight="1">
      <c r="B195" s="140" t="s">
        <v>179</v>
      </c>
      <c r="C195" s="254"/>
      <c r="D195" s="173" t="s">
        <v>320</v>
      </c>
      <c r="E195" s="277"/>
      <c r="F195" s="173"/>
      <c r="G195" s="277" t="s">
        <v>319</v>
      </c>
      <c r="H195" s="255"/>
      <c r="I195" s="451" t="s">
        <v>321</v>
      </c>
      <c r="J195" s="255"/>
      <c r="K195" s="409">
        <v>560</v>
      </c>
      <c r="L195" s="181"/>
      <c r="M195" s="10"/>
      <c r="N195" s="183"/>
      <c r="O195" s="54"/>
      <c r="Q195" s="41"/>
      <c r="R195" s="41"/>
    </row>
    <row r="196" spans="1:18" ht="25" customHeight="1">
      <c r="B196" s="145" t="s">
        <v>183</v>
      </c>
      <c r="C196" s="256"/>
      <c r="D196" s="178" t="s">
        <v>421</v>
      </c>
      <c r="E196" s="238"/>
      <c r="F196" s="257"/>
      <c r="G196" s="276" t="s">
        <v>319</v>
      </c>
      <c r="H196" s="262"/>
      <c r="I196" s="452" t="s">
        <v>321</v>
      </c>
      <c r="J196" s="262"/>
      <c r="K196" s="412">
        <v>560</v>
      </c>
      <c r="L196" s="181"/>
      <c r="M196" s="10"/>
      <c r="N196" s="183"/>
      <c r="O196" s="54"/>
      <c r="Q196" s="41"/>
      <c r="R196" s="41"/>
    </row>
    <row r="197" spans="1:18" ht="25" customHeight="1">
      <c r="B197" s="140" t="s">
        <v>185</v>
      </c>
      <c r="C197" s="254"/>
      <c r="D197" s="173" t="s">
        <v>422</v>
      </c>
      <c r="E197" s="277"/>
      <c r="F197" s="173"/>
      <c r="G197" s="277" t="s">
        <v>322</v>
      </c>
      <c r="H197" s="255"/>
      <c r="I197" s="451" t="s">
        <v>321</v>
      </c>
      <c r="J197" s="255"/>
      <c r="K197" s="409">
        <v>2230</v>
      </c>
      <c r="L197" s="181"/>
      <c r="M197" s="10"/>
      <c r="N197" s="183"/>
      <c r="O197" s="54"/>
      <c r="Q197" s="41"/>
      <c r="R197" s="41"/>
    </row>
    <row r="198" spans="1:18" ht="25" customHeight="1">
      <c r="B198" s="145" t="s">
        <v>188</v>
      </c>
      <c r="C198" s="256"/>
      <c r="D198" s="178" t="s">
        <v>423</v>
      </c>
      <c r="E198" s="238"/>
      <c r="F198" s="257"/>
      <c r="G198" s="276" t="s">
        <v>322</v>
      </c>
      <c r="H198" s="262"/>
      <c r="I198" s="452" t="s">
        <v>321</v>
      </c>
      <c r="J198" s="262"/>
      <c r="K198" s="412">
        <v>2230</v>
      </c>
      <c r="L198" s="181"/>
      <c r="M198" s="10"/>
      <c r="N198" s="183"/>
      <c r="O198" s="54"/>
      <c r="Q198" s="41"/>
      <c r="R198" s="41"/>
    </row>
    <row r="199" spans="1:18" ht="25" customHeight="1">
      <c r="B199" s="270"/>
      <c r="C199" s="271"/>
      <c r="D199" s="279"/>
      <c r="E199" s="272"/>
      <c r="F199" s="273"/>
      <c r="G199" s="274"/>
      <c r="H199" s="274"/>
      <c r="I199" s="274"/>
      <c r="J199" s="274"/>
      <c r="K199" s="436"/>
      <c r="L199" s="181"/>
      <c r="M199" s="10"/>
      <c r="N199" s="183"/>
      <c r="O199" s="54"/>
      <c r="Q199" s="41"/>
      <c r="R199" s="41"/>
    </row>
    <row r="200" spans="1:18" ht="25" customHeight="1">
      <c r="B200" s="281"/>
      <c r="C200" s="230"/>
      <c r="D200" s="230"/>
      <c r="E200" s="230"/>
      <c r="F200" s="231"/>
      <c r="G200" s="232"/>
      <c r="H200" s="181"/>
      <c r="I200" s="181"/>
      <c r="J200" s="181"/>
      <c r="K200" s="413"/>
      <c r="L200" s="183"/>
      <c r="M200" s="10"/>
      <c r="N200" s="41"/>
      <c r="O200" s="41"/>
    </row>
    <row r="201" spans="1:18" ht="25" customHeight="1">
      <c r="A201" s="234"/>
      <c r="B201" s="291"/>
      <c r="C201" s="292"/>
      <c r="D201" s="292"/>
      <c r="E201" s="292"/>
      <c r="F201" s="293"/>
      <c r="G201" s="294"/>
      <c r="H201" s="295"/>
      <c r="I201" s="295"/>
      <c r="J201" s="296"/>
      <c r="K201" s="439"/>
      <c r="L201" s="298"/>
      <c r="M201" s="10"/>
      <c r="N201" s="41"/>
      <c r="O201" s="41"/>
    </row>
    <row r="202" spans="1:18" s="20" customFormat="1" ht="25" customHeight="1">
      <c r="A202" s="21"/>
      <c r="B202" s="299"/>
      <c r="C202" s="300"/>
      <c r="D202" s="300"/>
      <c r="E202" s="300"/>
      <c r="F202" s="301"/>
      <c r="G202" s="302"/>
      <c r="H202" s="303"/>
      <c r="I202" s="303"/>
      <c r="J202" s="304"/>
      <c r="K202" s="440"/>
      <c r="L202" s="21"/>
      <c r="M202" s="10"/>
    </row>
    <row r="203" spans="1:18" s="20" customFormat="1" ht="25" customHeight="1">
      <c r="A203" s="21"/>
      <c r="B203" s="299"/>
      <c r="C203" s="300"/>
      <c r="D203" s="300"/>
      <c r="E203" s="300"/>
      <c r="F203" s="301"/>
      <c r="G203" s="302"/>
      <c r="H203" s="303"/>
      <c r="I203" s="303"/>
      <c r="J203" s="304"/>
      <c r="K203" s="440"/>
      <c r="L203" s="21"/>
      <c r="M203" s="10"/>
    </row>
    <row r="204" spans="1:18" s="20" customFormat="1" ht="25" customHeight="1">
      <c r="A204" s="21"/>
      <c r="B204" s="299"/>
      <c r="C204" s="300"/>
      <c r="D204" s="300"/>
      <c r="E204" s="300"/>
      <c r="F204" s="301"/>
      <c r="G204" s="302"/>
      <c r="H204" s="303"/>
      <c r="I204" s="303"/>
      <c r="J204" s="304"/>
      <c r="K204" s="440"/>
      <c r="L204" s="21"/>
      <c r="M204" s="10"/>
    </row>
    <row r="205" spans="1:18" s="20" customFormat="1" ht="25" customHeight="1">
      <c r="A205" s="21"/>
      <c r="B205" s="549" t="s">
        <v>424</v>
      </c>
      <c r="C205" s="549"/>
      <c r="D205" s="549"/>
      <c r="E205" s="549"/>
      <c r="F205" s="549"/>
      <c r="G205" s="549"/>
      <c r="H205" s="25"/>
      <c r="I205" s="134"/>
      <c r="J205" s="21"/>
      <c r="K205" s="386"/>
      <c r="L205" s="21"/>
      <c r="M205" s="10"/>
    </row>
    <row r="206" spans="1:18" s="20" customFormat="1" ht="25" customHeight="1">
      <c r="A206" s="21"/>
      <c r="B206" s="549"/>
      <c r="C206" s="549"/>
      <c r="D206" s="549"/>
      <c r="E206" s="549"/>
      <c r="F206" s="549"/>
      <c r="G206" s="549"/>
      <c r="H206" s="25"/>
      <c r="I206" s="134"/>
      <c r="J206" s="21"/>
      <c r="K206" s="386"/>
      <c r="L206" s="21"/>
      <c r="M206" s="10"/>
    </row>
    <row r="207" spans="1:18" s="20" customFormat="1" ht="25" customHeight="1">
      <c r="A207" s="21"/>
      <c r="B207" s="549"/>
      <c r="C207" s="549"/>
      <c r="D207" s="549"/>
      <c r="E207" s="549"/>
      <c r="F207" s="549"/>
      <c r="G207" s="549"/>
      <c r="H207" s="25"/>
      <c r="I207" s="134"/>
      <c r="J207" s="21"/>
      <c r="K207" s="386"/>
      <c r="L207" s="21"/>
      <c r="M207" s="10"/>
    </row>
    <row r="208" spans="1:18" s="20" customFormat="1" ht="25" customHeight="1">
      <c r="A208" s="21"/>
      <c r="B208" s="550" t="s">
        <v>411</v>
      </c>
      <c r="C208" s="550"/>
      <c r="D208" s="550"/>
      <c r="E208" s="550"/>
      <c r="F208" s="550"/>
      <c r="G208" s="21"/>
      <c r="H208" s="25"/>
      <c r="I208" s="134"/>
      <c r="J208" s="21"/>
      <c r="K208" s="386"/>
      <c r="L208" s="307"/>
      <c r="M208" s="10"/>
    </row>
    <row r="209" spans="1:20" s="20" customFormat="1" ht="25" customHeight="1">
      <c r="A209" s="21"/>
      <c r="B209" s="22"/>
      <c r="C209" s="23"/>
      <c r="D209" s="23"/>
      <c r="E209" s="23"/>
      <c r="F209" s="23"/>
      <c r="G209" s="21"/>
      <c r="H209" s="25"/>
      <c r="I209" s="134"/>
      <c r="J209" s="21"/>
      <c r="K209" s="386"/>
      <c r="L209" s="307"/>
      <c r="M209" s="10"/>
    </row>
    <row r="210" spans="1:20" s="20" customFormat="1" ht="25" customHeight="1">
      <c r="A210" s="21"/>
      <c r="B210" s="15" t="s">
        <v>425</v>
      </c>
      <c r="C210" s="23"/>
      <c r="D210" s="23"/>
      <c r="E210" s="23"/>
      <c r="F210" s="23"/>
      <c r="G210" s="21"/>
      <c r="H210" s="25"/>
      <c r="I210" s="134"/>
      <c r="J210" s="21"/>
      <c r="K210" s="386"/>
      <c r="L210" s="307"/>
      <c r="M210" s="10"/>
    </row>
    <row r="211" spans="1:20" s="20" customFormat="1" ht="25" customHeight="1">
      <c r="A211" s="21"/>
      <c r="B211" s="17" t="s">
        <v>426</v>
      </c>
      <c r="C211" s="23"/>
      <c r="D211" s="23"/>
      <c r="E211" s="23"/>
      <c r="F211" s="23"/>
      <c r="G211" s="21"/>
      <c r="H211" s="25"/>
      <c r="I211" s="21"/>
      <c r="J211" s="27"/>
      <c r="K211" s="386"/>
      <c r="L211" s="307"/>
      <c r="M211" s="10"/>
    </row>
    <row r="212" spans="1:20" s="20" customFormat="1" ht="25" customHeight="1">
      <c r="A212" s="21"/>
      <c r="B212" s="18" t="s">
        <v>4</v>
      </c>
      <c r="C212" s="308"/>
      <c r="D212" s="308"/>
      <c r="E212" s="308"/>
      <c r="F212" s="308"/>
      <c r="G212" s="307"/>
      <c r="H212" s="309"/>
      <c r="I212" s="307"/>
      <c r="J212" s="310"/>
      <c r="K212" s="441"/>
      <c r="L212" s="307"/>
      <c r="M212" s="10"/>
    </row>
    <row r="213" spans="1:20" s="127" customFormat="1" ht="25" customHeight="1">
      <c r="A213" s="312"/>
      <c r="B213" s="306"/>
      <c r="C213" s="313"/>
      <c r="D213" s="313"/>
      <c r="E213" s="313"/>
      <c r="F213" s="313"/>
      <c r="G213" s="307"/>
      <c r="H213" s="309"/>
      <c r="I213" s="307"/>
      <c r="J213" s="310"/>
      <c r="K213" s="441"/>
      <c r="L213" s="312"/>
      <c r="M213" s="10"/>
      <c r="N213" s="314"/>
      <c r="O213" s="162"/>
      <c r="P213" s="162"/>
      <c r="Q213" s="162"/>
      <c r="R213" s="162"/>
      <c r="S213" s="162"/>
      <c r="T213" s="162"/>
    </row>
    <row r="214" spans="1:20" ht="25" customHeight="1">
      <c r="A214" s="5"/>
      <c r="B214" s="315" t="s">
        <v>427</v>
      </c>
      <c r="C214" s="316"/>
      <c r="D214" s="317"/>
      <c r="E214" s="316"/>
      <c r="F214" s="318"/>
      <c r="G214" s="318"/>
      <c r="H214" s="318"/>
      <c r="I214" s="316"/>
      <c r="J214" s="318" t="s">
        <v>424</v>
      </c>
      <c r="K214" s="442"/>
      <c r="L214" s="320"/>
      <c r="M214" s="10"/>
      <c r="N214" s="246"/>
    </row>
    <row r="215" spans="1:20" ht="25" customHeight="1">
      <c r="A215" s="5"/>
      <c r="B215" s="321" t="s">
        <v>193</v>
      </c>
      <c r="C215" s="322" t="str">
        <f t="array" ref="C215">SUM(I26:I37*C26:C37)+SUM(I47:I56*b2_list_Antal_instanser)+SUM(I62:I65*C62:C65)+SUM(I72:I74*C72:C74)&amp;" vCPU"&amp;"     /     "&amp;SUM(I26:I37*E26)+SUM(b2_list_vCPU*b2_list_ram)+SUM(I62:I65*D62:D65)+SUM(I72:I74*D72:D74)&amp;" GB RAM"&amp;"     /     "&amp;SUM(I26:I37*E26:E37)+SUM(b2_list_vCPU*E47:E56)+SUM(I62:I65*E62:E65)+SUM(I72:I74*E72:E74)&amp;" GB  NVMe"&amp;"     /     "&amp;SUM(I81:I83)&amp;" GB Block storage"</f>
        <v>0 vCPU     /     0 GB RAM     /     0 GB  NVMe     /     0 GB Block storage</v>
      </c>
      <c r="D215" s="323"/>
      <c r="E215" s="322"/>
      <c r="F215" s="322"/>
      <c r="G215" s="324"/>
      <c r="H215" s="325"/>
      <c r="I215" s="323"/>
      <c r="J215" s="443">
        <f>K66+K75+K57+K40+K84</f>
        <v>0</v>
      </c>
      <c r="K215" s="409"/>
      <c r="L215" s="5"/>
      <c r="M215" s="10"/>
      <c r="N215" s="246"/>
    </row>
    <row r="216" spans="1:20" ht="25" customHeight="1">
      <c r="A216" s="5"/>
      <c r="B216" s="327" t="s">
        <v>194</v>
      </c>
      <c r="C216" s="328" t="str">
        <f>K96&amp;" TB - S3"&amp;"     /     "&amp;K95&amp;" TB - Archive"</f>
        <v>0 TB - S3     /     0 TB - Archive</v>
      </c>
      <c r="D216" s="329"/>
      <c r="E216" s="329"/>
      <c r="F216" s="330"/>
      <c r="G216" s="331"/>
      <c r="H216" s="331"/>
      <c r="I216" s="332"/>
      <c r="J216" s="444">
        <f>K97</f>
        <v>0</v>
      </c>
      <c r="K216" s="409"/>
      <c r="L216" s="5"/>
      <c r="M216" s="10"/>
      <c r="N216" s="246"/>
    </row>
    <row r="217" spans="1:20" ht="25" customHeight="1">
      <c r="A217" s="5"/>
      <c r="B217" s="327" t="s">
        <v>195</v>
      </c>
      <c r="C217" s="334"/>
      <c r="D217" s="335"/>
      <c r="E217" s="336"/>
      <c r="F217" s="330"/>
      <c r="G217" s="331"/>
      <c r="H217" s="331"/>
      <c r="I217" s="332"/>
      <c r="J217" s="444">
        <f>K121</f>
        <v>0</v>
      </c>
      <c r="K217" s="409"/>
      <c r="L217" s="5"/>
      <c r="M217" s="10"/>
      <c r="N217" s="246"/>
    </row>
    <row r="218" spans="1:20" s="337" customFormat="1" ht="25" customHeight="1">
      <c r="A218" s="338"/>
      <c r="B218" s="445" t="s">
        <v>277</v>
      </c>
      <c r="C218" s="446"/>
      <c r="D218" s="446"/>
      <c r="E218" s="446"/>
      <c r="F218" s="446"/>
      <c r="G218" s="446"/>
      <c r="H218" s="446"/>
      <c r="I218" s="446"/>
      <c r="J218" s="447">
        <f>SUM(J215:J217)</f>
        <v>0</v>
      </c>
      <c r="K218" s="448"/>
      <c r="L218" s="338"/>
      <c r="M218" s="10"/>
    </row>
    <row r="219" spans="1:20" ht="25" customHeight="1">
      <c r="A219" s="5"/>
      <c r="B219" s="343"/>
      <c r="C219" s="344"/>
      <c r="D219" s="344"/>
      <c r="E219" s="344"/>
      <c r="F219" s="345"/>
      <c r="G219" s="346"/>
      <c r="H219" s="346"/>
      <c r="I219" s="347"/>
      <c r="J219" s="347"/>
      <c r="K219" s="449"/>
      <c r="L219" s="5"/>
      <c r="M219" s="10"/>
    </row>
    <row r="220" spans="1:20" ht="25" customHeight="1">
      <c r="A220" s="5"/>
      <c r="B220" s="14"/>
      <c r="C220" s="173"/>
      <c r="D220" s="349"/>
      <c r="E220" s="261"/>
      <c r="F220" s="277"/>
      <c r="G220" s="350"/>
      <c r="H220" s="173"/>
      <c r="I220" s="351"/>
      <c r="J220" s="352"/>
      <c r="K220" s="409"/>
      <c r="L220" s="5"/>
      <c r="M220" s="10"/>
    </row>
    <row r="221" spans="1:20" ht="25" customHeight="1">
      <c r="A221" s="353"/>
      <c r="B221" s="354"/>
      <c r="C221" s="212"/>
      <c r="D221" s="242"/>
      <c r="E221" s="355"/>
      <c r="F221" s="356"/>
      <c r="G221" s="357"/>
      <c r="H221" s="212"/>
      <c r="I221" s="358"/>
      <c r="J221" s="359"/>
      <c r="K221" s="417"/>
      <c r="L221" s="360"/>
      <c r="M221" s="10"/>
    </row>
    <row r="222" spans="1:20" s="361" customFormat="1" ht="25" customHeight="1">
      <c r="B222" s="362"/>
      <c r="C222" s="363"/>
      <c r="D222" s="364"/>
      <c r="E222" s="365"/>
      <c r="F222" s="366"/>
      <c r="G222" s="367"/>
      <c r="H222" s="363"/>
      <c r="I222" s="368"/>
      <c r="J222" s="369"/>
      <c r="K222" s="450"/>
    </row>
    <row r="223" spans="1:20" s="361" customFormat="1" ht="25" customHeight="1">
      <c r="B223" s="371" t="s">
        <v>428</v>
      </c>
      <c r="C223" s="363"/>
      <c r="D223" s="363"/>
      <c r="E223" s="363"/>
      <c r="F223" s="372"/>
      <c r="G223" s="373"/>
      <c r="H223" s="374"/>
      <c r="I223" s="374"/>
      <c r="J223" s="374"/>
      <c r="K223" s="450"/>
      <c r="L223" s="369"/>
      <c r="M223" s="369"/>
      <c r="N223" s="369"/>
    </row>
    <row r="224" spans="1:20" s="361" customFormat="1" ht="25" customHeight="1">
      <c r="B224" s="371" t="s">
        <v>429</v>
      </c>
      <c r="C224" s="363"/>
      <c r="D224" s="363"/>
      <c r="E224" s="363"/>
      <c r="F224" s="372"/>
      <c r="G224" s="373"/>
      <c r="H224" s="374"/>
      <c r="I224" s="374"/>
      <c r="J224" s="374"/>
      <c r="K224" s="450"/>
      <c r="L224" s="369"/>
      <c r="M224" s="369"/>
      <c r="N224" s="369"/>
    </row>
    <row r="225" spans="1:23" s="361" customFormat="1" ht="25" customHeight="1">
      <c r="B225" s="376" t="s">
        <v>430</v>
      </c>
      <c r="C225" s="363"/>
      <c r="D225" s="363"/>
      <c r="E225" s="363"/>
      <c r="F225" s="372"/>
      <c r="G225" s="373"/>
      <c r="H225" s="374"/>
      <c r="I225" s="374"/>
      <c r="J225" s="374"/>
      <c r="K225" s="450"/>
      <c r="L225" s="369"/>
      <c r="M225" s="369"/>
      <c r="N225" s="369"/>
    </row>
    <row r="226" spans="1:23" s="361" customFormat="1" ht="25" customHeight="1">
      <c r="B226" s="371" t="s">
        <v>431</v>
      </c>
      <c r="C226" s="363"/>
      <c r="D226" s="363"/>
      <c r="E226" s="363"/>
      <c r="F226" s="372"/>
      <c r="G226" s="373"/>
      <c r="H226" s="374"/>
      <c r="I226" s="374"/>
      <c r="J226" s="374"/>
      <c r="K226" s="450"/>
      <c r="L226" s="369"/>
      <c r="M226" s="369"/>
      <c r="N226" s="369"/>
    </row>
    <row r="227" spans="1:23" s="361" customFormat="1" ht="25" customHeight="1">
      <c r="B227" s="371" t="s">
        <v>432</v>
      </c>
      <c r="C227" s="363"/>
      <c r="D227" s="363"/>
      <c r="E227" s="363"/>
      <c r="F227" s="372"/>
      <c r="G227" s="373"/>
      <c r="H227" s="374"/>
      <c r="I227" s="374"/>
      <c r="J227" s="374"/>
      <c r="K227" s="450"/>
      <c r="L227" s="369"/>
      <c r="M227" s="369"/>
      <c r="N227" s="369"/>
    </row>
    <row r="228" spans="1:23" s="361" customFormat="1" ht="25" customHeight="1">
      <c r="B228" s="362"/>
      <c r="C228" s="363"/>
      <c r="D228" s="363"/>
      <c r="E228" s="363"/>
      <c r="F228" s="372"/>
      <c r="G228" s="373"/>
      <c r="H228" s="374"/>
      <c r="I228" s="374"/>
      <c r="J228" s="374"/>
      <c r="K228" s="450"/>
      <c r="L228" s="369"/>
      <c r="M228" s="369"/>
      <c r="N228" s="369"/>
    </row>
    <row r="229" spans="1:23" s="361" customFormat="1" ht="25" customHeight="1">
      <c r="B229" s="362"/>
      <c r="C229" s="363"/>
      <c r="D229" s="363"/>
      <c r="E229" s="363"/>
      <c r="F229" s="372"/>
      <c r="G229" s="373"/>
      <c r="H229" s="374"/>
      <c r="I229" s="374"/>
      <c r="J229" s="374"/>
      <c r="K229" s="450"/>
      <c r="L229" s="369"/>
      <c r="M229" s="369"/>
      <c r="N229" s="369"/>
    </row>
    <row r="230" spans="1:23" s="361" customFormat="1" ht="25" customHeight="1">
      <c r="B230" s="362"/>
      <c r="C230" s="363"/>
      <c r="D230" s="363"/>
      <c r="E230" s="363"/>
      <c r="F230" s="372"/>
      <c r="G230" s="373"/>
      <c r="H230" s="374"/>
      <c r="I230" s="374"/>
      <c r="J230" s="374"/>
      <c r="K230" s="450"/>
      <c r="L230" s="369"/>
      <c r="M230" s="369"/>
      <c r="N230" s="369"/>
    </row>
    <row r="231" spans="1:23" s="361" customFormat="1" ht="25" customHeight="1">
      <c r="B231" s="362"/>
      <c r="C231" s="363"/>
      <c r="D231" s="363"/>
      <c r="E231" s="363"/>
      <c r="F231" s="372"/>
      <c r="G231" s="373"/>
      <c r="H231" s="374"/>
      <c r="I231" s="374"/>
      <c r="J231" s="374"/>
      <c r="K231" s="450"/>
      <c r="L231" s="369"/>
      <c r="M231" s="369"/>
      <c r="N231" s="369"/>
    </row>
    <row r="232" spans="1:23" s="377" customFormat="1" ht="25" customHeight="1">
      <c r="A232" s="361"/>
      <c r="B232" s="362"/>
      <c r="C232" s="363"/>
      <c r="D232" s="363"/>
      <c r="E232" s="363"/>
      <c r="F232" s="372"/>
      <c r="G232" s="373"/>
      <c r="H232" s="374"/>
      <c r="I232" s="374"/>
      <c r="J232" s="374"/>
      <c r="K232" s="450"/>
      <c r="L232" s="369"/>
      <c r="M232" s="369"/>
      <c r="N232" s="369"/>
      <c r="O232" s="361"/>
      <c r="P232" s="361"/>
      <c r="Q232" s="361"/>
      <c r="R232" s="361"/>
      <c r="S232" s="361"/>
      <c r="T232" s="361"/>
      <c r="U232" s="361"/>
      <c r="V232" s="361"/>
      <c r="W232" s="361"/>
    </row>
    <row r="233" spans="1:23" s="361" customFormat="1" ht="25" customHeight="1">
      <c r="B233" s="362"/>
      <c r="C233" s="363"/>
      <c r="D233" s="363"/>
      <c r="E233" s="363"/>
      <c r="F233" s="372"/>
      <c r="G233" s="373"/>
      <c r="H233" s="374"/>
      <c r="I233" s="374"/>
      <c r="J233" s="374"/>
      <c r="K233" s="450"/>
      <c r="L233" s="369"/>
      <c r="M233" s="369"/>
      <c r="N233" s="369"/>
    </row>
    <row r="234" spans="1:23" s="361" customFormat="1" ht="25" customHeight="1">
      <c r="B234" s="362"/>
      <c r="C234" s="363"/>
      <c r="D234" s="363"/>
      <c r="E234" s="363"/>
      <c r="F234" s="372"/>
      <c r="G234" s="373"/>
      <c r="H234" s="374"/>
      <c r="I234" s="374"/>
      <c r="J234" s="374"/>
      <c r="K234" s="450"/>
      <c r="L234" s="369"/>
      <c r="M234" s="369"/>
      <c r="N234" s="369"/>
    </row>
    <row r="235" spans="1:23" s="361" customFormat="1" ht="25" customHeight="1">
      <c r="B235" s="362"/>
      <c r="C235" s="363"/>
      <c r="D235" s="363"/>
      <c r="E235" s="363"/>
      <c r="F235" s="372"/>
      <c r="G235" s="373"/>
      <c r="H235" s="374"/>
      <c r="I235" s="374"/>
      <c r="J235" s="374"/>
      <c r="K235" s="450"/>
      <c r="L235" s="369"/>
      <c r="M235" s="369"/>
      <c r="N235" s="369"/>
    </row>
    <row r="236" spans="1:23" s="361" customFormat="1" ht="25" customHeight="1">
      <c r="B236" s="362"/>
      <c r="C236" s="363"/>
      <c r="D236" s="363"/>
      <c r="E236" s="363"/>
      <c r="F236" s="372"/>
      <c r="G236" s="373"/>
      <c r="H236" s="374"/>
      <c r="I236" s="374"/>
      <c r="J236" s="374"/>
      <c r="K236" s="450"/>
      <c r="L236" s="369"/>
      <c r="M236" s="369"/>
      <c r="N236" s="369"/>
    </row>
    <row r="237" spans="1:23" s="361" customFormat="1" ht="25" customHeight="1">
      <c r="B237" s="362"/>
      <c r="C237" s="363"/>
      <c r="D237" s="363"/>
      <c r="E237" s="363"/>
      <c r="F237" s="372"/>
      <c r="G237" s="373"/>
      <c r="H237" s="374"/>
      <c r="I237" s="374"/>
      <c r="J237" s="374"/>
      <c r="K237" s="450"/>
      <c r="L237" s="369"/>
      <c r="M237" s="369"/>
      <c r="N237" s="369"/>
    </row>
    <row r="238" spans="1:23" s="361" customFormat="1" ht="25" customHeight="1">
      <c r="B238" s="362"/>
      <c r="C238" s="363"/>
      <c r="D238" s="363"/>
      <c r="E238" s="363"/>
      <c r="F238" s="372"/>
      <c r="G238" s="373"/>
      <c r="H238" s="374"/>
      <c r="I238" s="374"/>
      <c r="J238" s="374"/>
      <c r="K238" s="450"/>
      <c r="L238" s="369"/>
      <c r="M238" s="369"/>
      <c r="N238" s="369"/>
    </row>
    <row r="239" spans="1:23" s="361" customFormat="1" ht="25" customHeight="1">
      <c r="B239" s="362"/>
      <c r="C239" s="363"/>
      <c r="D239" s="363"/>
      <c r="E239" s="363"/>
      <c r="F239" s="372"/>
      <c r="G239" s="373"/>
      <c r="H239" s="374"/>
      <c r="I239" s="374"/>
      <c r="J239" s="374"/>
      <c r="K239" s="450"/>
      <c r="L239" s="369"/>
      <c r="M239" s="369"/>
      <c r="N239" s="369"/>
    </row>
    <row r="240" spans="1:23" s="361" customFormat="1" ht="25" customHeight="1">
      <c r="B240" s="362"/>
      <c r="C240" s="363"/>
      <c r="D240" s="363"/>
      <c r="E240" s="363"/>
      <c r="F240" s="372"/>
      <c r="G240" s="373"/>
      <c r="H240" s="374"/>
      <c r="I240" s="374"/>
      <c r="J240" s="374"/>
      <c r="K240" s="450"/>
      <c r="L240" s="369"/>
      <c r="M240" s="369"/>
      <c r="N240" s="369"/>
    </row>
    <row r="241" spans="2:14" s="361" customFormat="1" ht="25" customHeight="1">
      <c r="B241" s="362"/>
      <c r="C241" s="363"/>
      <c r="D241" s="363"/>
      <c r="E241" s="363"/>
      <c r="F241" s="372"/>
      <c r="G241" s="373"/>
      <c r="H241" s="374"/>
      <c r="I241" s="374"/>
      <c r="J241" s="374"/>
      <c r="K241" s="450"/>
      <c r="L241" s="369"/>
      <c r="M241" s="369"/>
      <c r="N241" s="369"/>
    </row>
    <row r="242" spans="2:14" s="361" customFormat="1" ht="25" customHeight="1">
      <c r="B242" s="362"/>
      <c r="C242" s="363"/>
      <c r="D242" s="363"/>
      <c r="E242" s="363"/>
      <c r="F242" s="372"/>
      <c r="G242" s="373"/>
      <c r="H242" s="374"/>
      <c r="I242" s="374"/>
      <c r="J242" s="374"/>
      <c r="K242" s="450"/>
      <c r="L242" s="369"/>
      <c r="M242" s="369"/>
      <c r="N242" s="369"/>
    </row>
    <row r="243" spans="2:14" s="361" customFormat="1" ht="25" customHeight="1">
      <c r="B243" s="362"/>
      <c r="C243" s="363"/>
      <c r="D243" s="363"/>
      <c r="E243" s="363"/>
      <c r="F243" s="372"/>
      <c r="G243" s="373"/>
      <c r="H243" s="374"/>
      <c r="I243" s="374"/>
      <c r="J243" s="374"/>
      <c r="K243" s="450"/>
      <c r="L243" s="369"/>
      <c r="M243" s="369"/>
      <c r="N243" s="369"/>
    </row>
    <row r="244" spans="2:14" s="361" customFormat="1" ht="25" customHeight="1">
      <c r="B244" s="362"/>
      <c r="C244" s="363"/>
      <c r="D244" s="363"/>
      <c r="E244" s="363"/>
      <c r="F244" s="372"/>
      <c r="G244" s="373"/>
      <c r="H244" s="374"/>
      <c r="I244" s="374"/>
      <c r="J244" s="374"/>
      <c r="K244" s="450"/>
      <c r="L244" s="369"/>
      <c r="M244" s="369"/>
      <c r="N244" s="369"/>
    </row>
    <row r="245" spans="2:14" s="361" customFormat="1" ht="25" customHeight="1">
      <c r="B245" s="362"/>
      <c r="C245" s="363"/>
      <c r="D245" s="363"/>
      <c r="E245" s="363"/>
      <c r="F245" s="372"/>
      <c r="G245" s="373"/>
      <c r="H245" s="374"/>
      <c r="I245" s="374"/>
      <c r="J245" s="374"/>
      <c r="K245" s="450"/>
      <c r="L245" s="369"/>
      <c r="M245" s="369"/>
      <c r="N245" s="369"/>
    </row>
    <row r="246" spans="2:14" s="361" customFormat="1" ht="25" customHeight="1">
      <c r="B246" s="362"/>
      <c r="C246" s="363"/>
      <c r="D246" s="363"/>
      <c r="E246" s="363"/>
      <c r="F246" s="372"/>
      <c r="G246" s="373"/>
      <c r="H246" s="374"/>
      <c r="I246" s="374"/>
      <c r="J246" s="374"/>
      <c r="K246" s="450"/>
      <c r="L246" s="369"/>
      <c r="M246" s="369"/>
      <c r="N246" s="369"/>
    </row>
    <row r="247" spans="2:14" s="361" customFormat="1" ht="25" customHeight="1">
      <c r="B247" s="362"/>
      <c r="C247" s="363"/>
      <c r="D247" s="363"/>
      <c r="E247" s="363"/>
      <c r="F247" s="372"/>
      <c r="G247" s="373"/>
      <c r="H247" s="374"/>
      <c r="I247" s="374"/>
      <c r="J247" s="374"/>
      <c r="K247" s="450"/>
      <c r="L247" s="369"/>
      <c r="M247" s="369"/>
      <c r="N247" s="369"/>
    </row>
    <row r="248" spans="2:14" s="361" customFormat="1" ht="25" customHeight="1">
      <c r="B248" s="362"/>
      <c r="C248" s="363"/>
      <c r="D248" s="363"/>
      <c r="E248" s="363"/>
      <c r="F248" s="372"/>
      <c r="G248" s="373"/>
      <c r="H248" s="374"/>
      <c r="I248" s="374"/>
      <c r="J248" s="374"/>
      <c r="K248" s="450"/>
      <c r="L248" s="369"/>
      <c r="M248" s="369"/>
      <c r="N248" s="369"/>
    </row>
    <row r="249" spans="2:14" s="361" customFormat="1" ht="25" customHeight="1">
      <c r="B249" s="362"/>
      <c r="C249" s="363"/>
      <c r="D249" s="363"/>
      <c r="E249" s="363"/>
      <c r="F249" s="372"/>
      <c r="G249" s="373"/>
      <c r="H249" s="374"/>
      <c r="I249" s="374"/>
      <c r="J249" s="374"/>
      <c r="K249" s="450"/>
      <c r="L249" s="369"/>
      <c r="M249" s="369"/>
      <c r="N249" s="369"/>
    </row>
    <row r="250" spans="2:14" s="361" customFormat="1" ht="25" customHeight="1">
      <c r="B250" s="362"/>
      <c r="C250" s="363"/>
      <c r="D250" s="363"/>
      <c r="E250" s="363"/>
      <c r="F250" s="372"/>
      <c r="G250" s="373"/>
      <c r="H250" s="374"/>
      <c r="I250" s="374"/>
      <c r="J250" s="374"/>
      <c r="K250" s="450"/>
      <c r="L250" s="369"/>
      <c r="M250" s="369"/>
      <c r="N250" s="369"/>
    </row>
    <row r="251" spans="2:14" s="361" customFormat="1" ht="25" customHeight="1">
      <c r="B251" s="362"/>
      <c r="C251" s="363"/>
      <c r="D251" s="363"/>
      <c r="E251" s="363"/>
      <c r="F251" s="372"/>
      <c r="G251" s="373"/>
      <c r="H251" s="374"/>
      <c r="I251" s="374"/>
      <c r="J251" s="374"/>
      <c r="K251" s="450"/>
      <c r="L251" s="369"/>
      <c r="M251" s="369"/>
      <c r="N251" s="369"/>
    </row>
    <row r="252" spans="2:14" s="361" customFormat="1" ht="25" customHeight="1">
      <c r="B252" s="362"/>
      <c r="K252" s="450"/>
      <c r="M252" s="378"/>
    </row>
    <row r="253" spans="2:14" s="361" customFormat="1" ht="25" customHeight="1">
      <c r="B253" s="362"/>
      <c r="K253" s="450"/>
      <c r="M253" s="378"/>
    </row>
    <row r="254" spans="2:14" s="361" customFormat="1" ht="25" customHeight="1">
      <c r="B254" s="362"/>
      <c r="K254" s="450"/>
      <c r="M254" s="378"/>
    </row>
    <row r="255" spans="2:14" s="361" customFormat="1" ht="25" customHeight="1">
      <c r="B255" s="362"/>
      <c r="K255" s="450"/>
      <c r="M255" s="378"/>
    </row>
    <row r="256" spans="2:14" s="361" customFormat="1" ht="25" customHeight="1">
      <c r="B256" s="362"/>
      <c r="K256" s="450"/>
      <c r="M256" s="378"/>
    </row>
    <row r="257" spans="2:13" s="361" customFormat="1" ht="25" customHeight="1">
      <c r="B257" s="362"/>
      <c r="K257" s="450"/>
      <c r="M257" s="378"/>
    </row>
    <row r="258" spans="2:13" s="361" customFormat="1" ht="25" customHeight="1">
      <c r="B258" s="362"/>
      <c r="K258" s="450"/>
      <c r="M258" s="378"/>
    </row>
    <row r="259" spans="2:13" s="361" customFormat="1" ht="25" customHeight="1">
      <c r="B259" s="362"/>
      <c r="K259" s="450"/>
      <c r="M259" s="378"/>
    </row>
    <row r="260" spans="2:13" s="361" customFormat="1" ht="25" customHeight="1">
      <c r="B260" s="362"/>
      <c r="K260" s="450"/>
      <c r="M260" s="378"/>
    </row>
    <row r="261" spans="2:13" s="361" customFormat="1" ht="25" customHeight="1">
      <c r="B261" s="362"/>
      <c r="K261" s="450"/>
      <c r="M261" s="378"/>
    </row>
    <row r="262" spans="2:13" s="361" customFormat="1" ht="25" customHeight="1">
      <c r="B262" s="362"/>
      <c r="K262" s="450"/>
      <c r="M262" s="378"/>
    </row>
    <row r="263" spans="2:13" s="361" customFormat="1" ht="25" customHeight="1">
      <c r="B263" s="362"/>
      <c r="K263" s="450"/>
      <c r="M263" s="378"/>
    </row>
    <row r="264" spans="2:13" s="361" customFormat="1" ht="25" customHeight="1">
      <c r="B264" s="362"/>
      <c r="K264" s="450"/>
      <c r="M264" s="378"/>
    </row>
    <row r="265" spans="2:13" s="361" customFormat="1" ht="25" customHeight="1">
      <c r="B265" s="362"/>
      <c r="K265" s="450"/>
      <c r="M265" s="378"/>
    </row>
    <row r="266" spans="2:13" s="361" customFormat="1" ht="25" customHeight="1">
      <c r="B266" s="362"/>
      <c r="K266" s="450"/>
      <c r="M266" s="378"/>
    </row>
    <row r="267" spans="2:13" s="361" customFormat="1" ht="25" customHeight="1">
      <c r="B267" s="362"/>
      <c r="K267" s="450"/>
      <c r="M267" s="378"/>
    </row>
    <row r="268" spans="2:13" s="361" customFormat="1" ht="25" customHeight="1">
      <c r="B268" s="362"/>
      <c r="K268" s="450"/>
      <c r="M268" s="378"/>
    </row>
    <row r="269" spans="2:13" s="361" customFormat="1" ht="25" customHeight="1">
      <c r="B269" s="362"/>
      <c r="K269" s="450"/>
      <c r="M269" s="378"/>
    </row>
    <row r="270" spans="2:13" s="361" customFormat="1" ht="25" customHeight="1">
      <c r="B270" s="362"/>
      <c r="K270" s="450"/>
      <c r="M270" s="378"/>
    </row>
    <row r="271" spans="2:13" s="361" customFormat="1" ht="25" customHeight="1">
      <c r="B271" s="362"/>
      <c r="K271" s="450"/>
      <c r="M271" s="378"/>
    </row>
    <row r="272" spans="2:13" s="361" customFormat="1" ht="25" customHeight="1">
      <c r="B272" s="362"/>
      <c r="K272" s="450"/>
      <c r="M272" s="378"/>
    </row>
    <row r="273" spans="2:13" s="361" customFormat="1" ht="25" customHeight="1">
      <c r="B273" s="362"/>
      <c r="K273" s="450"/>
      <c r="M273" s="378"/>
    </row>
    <row r="274" spans="2:13" s="361" customFormat="1" ht="25" customHeight="1">
      <c r="B274" s="362"/>
      <c r="K274" s="450"/>
      <c r="M274" s="378"/>
    </row>
    <row r="275" spans="2:13" s="361" customFormat="1" ht="25" customHeight="1">
      <c r="B275" s="362"/>
      <c r="K275" s="450"/>
      <c r="M275" s="378"/>
    </row>
    <row r="276" spans="2:13" s="361" customFormat="1" ht="25" customHeight="1">
      <c r="B276" s="362"/>
      <c r="K276" s="450"/>
      <c r="M276" s="378"/>
    </row>
    <row r="277" spans="2:13" s="361" customFormat="1" ht="25" customHeight="1">
      <c r="B277" s="362"/>
      <c r="K277" s="450"/>
      <c r="M277" s="378"/>
    </row>
    <row r="278" spans="2:13" s="361" customFormat="1" ht="25" customHeight="1">
      <c r="B278" s="362"/>
      <c r="K278" s="450"/>
      <c r="M278" s="378"/>
    </row>
    <row r="279" spans="2:13" s="361" customFormat="1" ht="25" customHeight="1">
      <c r="B279" s="362"/>
      <c r="K279" s="450"/>
      <c r="M279" s="378"/>
    </row>
    <row r="280" spans="2:13" s="361" customFormat="1" ht="25" customHeight="1">
      <c r="B280" s="362"/>
      <c r="K280" s="450"/>
      <c r="M280" s="378"/>
    </row>
    <row r="281" spans="2:13" s="361" customFormat="1" ht="25" customHeight="1">
      <c r="B281" s="362"/>
      <c r="K281" s="450"/>
      <c r="M281" s="378"/>
    </row>
    <row r="282" spans="2:13" s="361" customFormat="1" ht="25" customHeight="1">
      <c r="B282" s="362"/>
      <c r="K282" s="450"/>
      <c r="M282" s="378"/>
    </row>
    <row r="283" spans="2:13" s="361" customFormat="1" ht="25" customHeight="1">
      <c r="B283" s="362"/>
      <c r="K283" s="450"/>
      <c r="M283" s="378"/>
    </row>
    <row r="284" spans="2:13" s="361" customFormat="1" ht="25" customHeight="1">
      <c r="B284" s="362"/>
      <c r="K284" s="450"/>
      <c r="M284" s="378"/>
    </row>
    <row r="285" spans="2:13" s="361" customFormat="1" ht="25" customHeight="1">
      <c r="B285" s="362"/>
      <c r="K285" s="450"/>
      <c r="M285" s="378"/>
    </row>
    <row r="286" spans="2:13" s="361" customFormat="1" ht="25" customHeight="1">
      <c r="B286" s="362"/>
      <c r="K286" s="450"/>
      <c r="M286" s="378"/>
    </row>
    <row r="287" spans="2:13" s="361" customFormat="1" ht="25" customHeight="1">
      <c r="B287" s="362"/>
      <c r="K287" s="450"/>
      <c r="M287" s="378"/>
    </row>
    <row r="288" spans="2:13" s="361" customFormat="1" ht="25" customHeight="1">
      <c r="B288" s="362"/>
      <c r="K288" s="450"/>
      <c r="M288" s="378"/>
    </row>
    <row r="289" spans="2:13" s="361" customFormat="1" ht="25" customHeight="1">
      <c r="B289" s="362"/>
      <c r="K289" s="450"/>
      <c r="M289" s="378"/>
    </row>
    <row r="290" spans="2:13" s="361" customFormat="1" ht="25" customHeight="1">
      <c r="B290" s="362"/>
      <c r="K290" s="450"/>
      <c r="M290" s="378"/>
    </row>
    <row r="291" spans="2:13" s="361" customFormat="1" ht="25" customHeight="1">
      <c r="B291" s="362"/>
      <c r="K291" s="450"/>
      <c r="M291" s="378"/>
    </row>
    <row r="292" spans="2:13" s="361" customFormat="1" ht="25" customHeight="1">
      <c r="B292" s="362"/>
      <c r="K292" s="450"/>
      <c r="M292" s="378"/>
    </row>
    <row r="293" spans="2:13" s="361" customFormat="1" ht="25" customHeight="1">
      <c r="B293" s="362"/>
      <c r="K293" s="450"/>
      <c r="M293" s="378"/>
    </row>
    <row r="294" spans="2:13" s="361" customFormat="1" ht="25" customHeight="1">
      <c r="B294" s="362"/>
      <c r="K294" s="450"/>
      <c r="M294" s="378"/>
    </row>
    <row r="295" spans="2:13" s="361" customFormat="1" ht="25" customHeight="1">
      <c r="B295" s="362"/>
      <c r="K295" s="450"/>
      <c r="M295" s="378"/>
    </row>
    <row r="296" spans="2:13" s="361" customFormat="1" ht="25" customHeight="1">
      <c r="B296" s="362"/>
      <c r="K296" s="450"/>
      <c r="M296" s="378"/>
    </row>
    <row r="297" spans="2:13" s="361" customFormat="1" ht="25" customHeight="1">
      <c r="B297" s="362"/>
      <c r="K297" s="450"/>
      <c r="M297" s="378"/>
    </row>
    <row r="298" spans="2:13" s="361" customFormat="1" ht="25" customHeight="1">
      <c r="B298" s="362"/>
      <c r="K298" s="450"/>
      <c r="M298" s="378"/>
    </row>
    <row r="299" spans="2:13" s="361" customFormat="1" ht="25" customHeight="1">
      <c r="B299" s="362"/>
      <c r="K299" s="450"/>
      <c r="M299" s="378"/>
    </row>
    <row r="300" spans="2:13" s="361" customFormat="1" ht="25" customHeight="1">
      <c r="B300" s="362"/>
      <c r="K300" s="450"/>
      <c r="M300" s="378"/>
    </row>
    <row r="301" spans="2:13" s="361" customFormat="1" ht="25" customHeight="1">
      <c r="B301" s="362"/>
      <c r="K301" s="450"/>
      <c r="M301" s="378"/>
    </row>
    <row r="302" spans="2:13" s="361" customFormat="1" ht="25" customHeight="1">
      <c r="B302" s="362"/>
      <c r="K302" s="450"/>
      <c r="M302" s="378"/>
    </row>
    <row r="314" spans="2:4" ht="25" customHeight="1">
      <c r="B314" s="379"/>
      <c r="C314" s="178"/>
      <c r="D314" s="149"/>
    </row>
  </sheetData>
  <mergeCells count="38">
    <mergeCell ref="B167:K169"/>
    <mergeCell ref="B170:F170"/>
    <mergeCell ref="B171:F171"/>
    <mergeCell ref="B205:G207"/>
    <mergeCell ref="B208:F208"/>
    <mergeCell ref="C133:D133"/>
    <mergeCell ref="E133:F133"/>
    <mergeCell ref="C134:D134"/>
    <mergeCell ref="E134:F134"/>
    <mergeCell ref="B139:G141"/>
    <mergeCell ref="B110:G112"/>
    <mergeCell ref="B125:G127"/>
    <mergeCell ref="C132:D132"/>
    <mergeCell ref="E132:F132"/>
    <mergeCell ref="G132:H132"/>
    <mergeCell ref="D105:E105"/>
    <mergeCell ref="F105:G105"/>
    <mergeCell ref="H105:I105"/>
    <mergeCell ref="D106:E106"/>
    <mergeCell ref="F106:G106"/>
    <mergeCell ref="H106:I106"/>
    <mergeCell ref="D103:E103"/>
    <mergeCell ref="F103:G103"/>
    <mergeCell ref="H103:I103"/>
    <mergeCell ref="D104:E104"/>
    <mergeCell ref="F104:G104"/>
    <mergeCell ref="H104:I104"/>
    <mergeCell ref="D100:E100"/>
    <mergeCell ref="F100:G100"/>
    <mergeCell ref="H100:I100"/>
    <mergeCell ref="D102:E102"/>
    <mergeCell ref="F102:G102"/>
    <mergeCell ref="H102:I102"/>
    <mergeCell ref="B4:C4"/>
    <mergeCell ref="B15:G17"/>
    <mergeCell ref="B60:E60"/>
    <mergeCell ref="B70:E70"/>
    <mergeCell ref="B87:G89"/>
  </mergeCells>
  <conditionalFormatting sqref="I26:I39 K26:K39 I47:I56 K47:K56 I62:I65 K62:K65 I72:I74 K72:K74 I81:I83 K81:K83 I95:I96 K95:K96 I118:I120 K118:K120 J119:J120">
    <cfRule type="cellIs" dxfId="10" priority="1" operator="greaterThan">
      <formula>0</formula>
    </cfRule>
  </conditionalFormatting>
  <hyperlinks>
    <hyperlink ref="B10:C10" r:id="rId1" display="hello@safespring.com" xr:uid="{00000000-0004-0000-0600-000000000000}"/>
    <hyperlink ref="B10" r:id="rId2" xr:uid="{00000000-0004-0000-0600-000001000000}"/>
    <hyperlink ref="B60" location="'SEK - Safesprings tjänster 2022'!I83" display="Central blocklagring kan köpas till insatserna. Se &quot;Central blocklagring&quot; i prislistan." xr:uid="{00000000-0004-0000-0600-000002000000}"/>
    <hyperlink ref="B60:E60" location="'SEK - Safesprings tjänster 2022'!I81" display="Central blocklagring kan köpas till insatserna. Se &quot;Central blocklagring&quot; i prislistan." xr:uid="{00000000-0004-0000-0600-000003000000}"/>
    <hyperlink ref="B70" location="'SEK - Safesprings tjänster 2022'!I83" display="Central blocklagring kan köpas till insatserna. Se &quot;Central blocklagring&quot; i prislistan." xr:uid="{00000000-0004-0000-0600-000004000000}"/>
    <hyperlink ref="B70:E70" location="'SEK - Safesprings tjänster 2022'!I81" display="Central blocklagring kan köpas till insatserna. Se &quot;Central blocklagring&quot; i prislistan." xr:uid="{00000000-0004-0000-0600-000005000000}"/>
    <hyperlink ref="B212" r:id="rId3" xr:uid="{00000000-0004-0000-0600-000006000000}"/>
  </hyperlinks>
  <pageMargins left="0" right="0" top="0" bottom="0" header="0" footer="0"/>
  <pageSetup paperSize="9" scale="17" orientation="portrait"/>
  <headerFooter>
    <oddFooter>&amp;C&amp;P av &amp;N</oddFooter>
  </headerFooter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N76"/>
  <sheetViews>
    <sheetView zoomScale="120" workbookViewId="0">
      <selection activeCell="I7" sqref="I7"/>
    </sheetView>
  </sheetViews>
  <sheetFormatPr baseColWidth="10" defaultColWidth="17.5" defaultRowHeight="30" customHeight="1"/>
  <cols>
    <col min="1" max="1" width="10.1640625" style="453" bestFit="1" customWidth="1"/>
    <col min="2" max="3" width="17.5" style="453" bestFit="1"/>
    <col min="4" max="4" width="17.5" style="454" bestFit="1"/>
    <col min="5" max="6" width="23.1640625" style="453" bestFit="1" customWidth="1"/>
    <col min="7" max="7" width="22.5" style="455" bestFit="1" customWidth="1"/>
    <col min="8" max="8" width="17.5" style="453" bestFit="1"/>
    <col min="9" max="16384" width="17.5" style="453"/>
  </cols>
  <sheetData>
    <row r="1" spans="2:14" s="456" customFormat="1" ht="30" customHeight="1">
      <c r="B1" s="457"/>
      <c r="D1" s="458"/>
      <c r="G1" s="459"/>
      <c r="L1" s="460"/>
      <c r="N1" s="458"/>
    </row>
    <row r="2" spans="2:14" s="461" customFormat="1" ht="30" customHeight="1">
      <c r="B2" s="462" t="s">
        <v>193</v>
      </c>
      <c r="C2" s="463"/>
      <c r="D2" s="464" t="s">
        <v>433</v>
      </c>
      <c r="E2" s="464" t="s">
        <v>434</v>
      </c>
      <c r="F2" s="464" t="s">
        <v>435</v>
      </c>
      <c r="G2" s="465"/>
      <c r="I2" s="463" t="s">
        <v>436</v>
      </c>
      <c r="J2" s="464"/>
      <c r="K2" s="464"/>
    </row>
    <row r="3" spans="2:14" s="456" customFormat="1" ht="30" customHeight="1">
      <c r="B3" s="466" t="s">
        <v>437</v>
      </c>
      <c r="C3" s="23"/>
      <c r="D3" s="467">
        <v>55</v>
      </c>
      <c r="E3" s="468">
        <f t="shared" ref="E3:E7" si="0">D3*SEK</f>
        <v>55</v>
      </c>
      <c r="F3" s="469">
        <f t="shared" ref="F3:F7" si="1">D3*EUR</f>
        <v>4.8949999999999996</v>
      </c>
      <c r="G3" s="468"/>
      <c r="I3" s="470" t="s">
        <v>325</v>
      </c>
      <c r="J3" s="471"/>
      <c r="K3" s="472">
        <v>1</v>
      </c>
    </row>
    <row r="4" spans="2:14" s="456" customFormat="1" ht="30" customHeight="1">
      <c r="B4" s="473" t="s">
        <v>438</v>
      </c>
      <c r="C4" s="474"/>
      <c r="D4" s="467">
        <v>3.6</v>
      </c>
      <c r="E4" s="475">
        <f t="shared" si="0"/>
        <v>3.6</v>
      </c>
      <c r="F4" s="476">
        <f t="shared" si="1"/>
        <v>0.32040000000000002</v>
      </c>
      <c r="G4" s="477"/>
      <c r="I4" s="478" t="s">
        <v>435</v>
      </c>
      <c r="K4" s="479">
        <v>8.8999999999999996E-2</v>
      </c>
    </row>
    <row r="5" spans="2:14" s="456" customFormat="1" ht="30" customHeight="1">
      <c r="B5" s="466" t="s">
        <v>439</v>
      </c>
      <c r="C5" s="23"/>
      <c r="D5" s="467">
        <v>80</v>
      </c>
      <c r="E5" s="468">
        <f t="shared" si="0"/>
        <v>80</v>
      </c>
      <c r="F5" s="469">
        <f t="shared" si="1"/>
        <v>7.1199999999999992</v>
      </c>
      <c r="G5" s="468"/>
      <c r="I5" s="470" t="s">
        <v>440</v>
      </c>
      <c r="J5" s="471"/>
      <c r="K5" s="480">
        <v>1</v>
      </c>
    </row>
    <row r="6" spans="2:14" s="456" customFormat="1" ht="30" customHeight="1">
      <c r="B6" s="473" t="s">
        <v>441</v>
      </c>
      <c r="C6" s="474"/>
      <c r="D6" s="467">
        <v>1</v>
      </c>
      <c r="E6" s="475">
        <f t="shared" si="0"/>
        <v>1</v>
      </c>
      <c r="F6" s="476">
        <f t="shared" si="1"/>
        <v>8.8999999999999996E-2</v>
      </c>
      <c r="G6" s="475"/>
      <c r="I6" s="481"/>
      <c r="J6" s="482"/>
      <c r="K6" s="481"/>
    </row>
    <row r="7" spans="2:14" s="456" customFormat="1" ht="30" customHeight="1">
      <c r="B7" s="466" t="s">
        <v>442</v>
      </c>
      <c r="C7" s="23"/>
      <c r="D7" s="467">
        <v>5500</v>
      </c>
      <c r="E7" s="468">
        <f t="shared" si="0"/>
        <v>5500</v>
      </c>
      <c r="F7" s="469">
        <f t="shared" si="1"/>
        <v>489.5</v>
      </c>
      <c r="G7" s="468"/>
      <c r="J7" s="460"/>
    </row>
    <row r="8" spans="2:14" s="456" customFormat="1" ht="30" customHeight="1">
      <c r="B8" s="473" t="s">
        <v>443</v>
      </c>
      <c r="C8" s="474"/>
      <c r="D8" s="467">
        <v>2.66</v>
      </c>
      <c r="E8" s="475">
        <f>D8*IAAS_vcpu_SEK*SEK</f>
        <v>212.8</v>
      </c>
      <c r="F8" s="476">
        <f>D8*IAAS_vcpu_SEK*EUR</f>
        <v>18.9392</v>
      </c>
      <c r="G8" s="475"/>
      <c r="I8" s="462" t="s">
        <v>444</v>
      </c>
      <c r="J8" s="483" t="s">
        <v>58</v>
      </c>
      <c r="K8" s="464" t="s">
        <v>109</v>
      </c>
    </row>
    <row r="9" spans="2:14" s="456" customFormat="1" ht="30" customHeight="1">
      <c r="B9" s="466"/>
      <c r="C9" s="23"/>
      <c r="D9" s="467"/>
      <c r="E9" s="484"/>
      <c r="F9" s="485"/>
      <c r="G9" s="468"/>
      <c r="I9" s="486" t="s">
        <v>445</v>
      </c>
      <c r="J9" s="487"/>
      <c r="K9" s="488">
        <f>J9*IAAS_vcpu_SEK</f>
        <v>0</v>
      </c>
    </row>
    <row r="10" spans="2:14" s="456" customFormat="1" ht="30" customHeight="1">
      <c r="B10" s="473"/>
      <c r="C10" s="474"/>
      <c r="D10" s="467"/>
      <c r="E10" s="489"/>
      <c r="F10" s="490"/>
      <c r="G10" s="475"/>
      <c r="I10" s="491" t="s">
        <v>446</v>
      </c>
      <c r="J10" s="487"/>
      <c r="K10" s="492">
        <f>J10*IAAS_ram_SEK</f>
        <v>0</v>
      </c>
    </row>
    <row r="11" spans="2:14" s="493" customFormat="1" ht="30" customHeight="1">
      <c r="B11" s="466"/>
      <c r="C11" s="23"/>
      <c r="D11" s="467"/>
      <c r="E11" s="484"/>
      <c r="F11" s="485"/>
      <c r="G11" s="468"/>
      <c r="I11" s="494" t="s">
        <v>326</v>
      </c>
      <c r="J11" s="495"/>
      <c r="K11" s="496">
        <f>SUM(K9:K10)</f>
        <v>0</v>
      </c>
    </row>
    <row r="12" spans="2:14" s="456" customFormat="1" ht="30" customHeight="1">
      <c r="B12" s="497"/>
      <c r="C12" s="498"/>
      <c r="D12" s="499"/>
      <c r="E12" s="499"/>
      <c r="F12" s="499"/>
      <c r="G12" s="500"/>
      <c r="L12" s="460"/>
      <c r="N12" s="453"/>
    </row>
    <row r="13" spans="2:14" ht="30" customHeight="1">
      <c r="B13" s="462" t="s">
        <v>447</v>
      </c>
      <c r="C13" s="463"/>
      <c r="D13" s="464" t="s">
        <v>433</v>
      </c>
      <c r="E13" s="464" t="s">
        <v>325</v>
      </c>
      <c r="F13" s="464" t="s">
        <v>435</v>
      </c>
      <c r="G13" s="465"/>
      <c r="I13" s="456"/>
      <c r="J13" s="456"/>
      <c r="K13" s="456"/>
      <c r="L13" s="501"/>
    </row>
    <row r="14" spans="2:14" ht="30" customHeight="1">
      <c r="B14" s="466" t="s">
        <v>279</v>
      </c>
      <c r="C14" s="23"/>
      <c r="D14" s="502">
        <f>INSTANCE_p1.4xlarge.16d_SEK/2</f>
        <v>6840</v>
      </c>
      <c r="E14" s="468">
        <f t="shared" ref="E14:E33" si="2">D14*SEK</f>
        <v>6840</v>
      </c>
      <c r="F14" s="469">
        <f t="shared" ref="F14:F76" si="3">D14*EUR</f>
        <v>608.76</v>
      </c>
      <c r="G14" s="503"/>
      <c r="I14" s="456"/>
      <c r="J14" s="456"/>
      <c r="K14" s="456"/>
    </row>
    <row r="15" spans="2:14" s="504" customFormat="1" ht="30" customHeight="1">
      <c r="B15" s="473" t="s">
        <v>280</v>
      </c>
      <c r="C15" s="474"/>
      <c r="D15" s="505">
        <v>13680</v>
      </c>
      <c r="E15" s="475">
        <f t="shared" si="2"/>
        <v>13680</v>
      </c>
      <c r="F15" s="476">
        <f t="shared" si="3"/>
        <v>1217.52</v>
      </c>
      <c r="G15" s="477"/>
      <c r="I15" s="456"/>
      <c r="J15" s="456"/>
      <c r="K15" s="456"/>
    </row>
    <row r="16" spans="2:14" ht="30" customHeight="1">
      <c r="B16" s="466" t="s">
        <v>281</v>
      </c>
      <c r="C16" s="23"/>
      <c r="D16" s="502">
        <f>INSTANCE_p1.4xlarge.16d_SEK*2</f>
        <v>27360</v>
      </c>
      <c r="E16" s="468">
        <f t="shared" si="2"/>
        <v>27360</v>
      </c>
      <c r="F16" s="469">
        <f t="shared" si="3"/>
        <v>2435.04</v>
      </c>
      <c r="G16" s="503"/>
      <c r="I16" s="456"/>
      <c r="J16" s="456"/>
      <c r="K16" s="456"/>
    </row>
    <row r="17" spans="2:7" s="504" customFormat="1" ht="30" customHeight="1">
      <c r="B17" s="481"/>
      <c r="C17" s="481"/>
      <c r="D17" s="506"/>
      <c r="E17" s="481"/>
      <c r="F17" s="481"/>
      <c r="G17" s="507"/>
    </row>
    <row r="18" spans="2:7" ht="30" customHeight="1">
      <c r="B18" s="462" t="s">
        <v>193</v>
      </c>
      <c r="C18" s="463"/>
      <c r="D18" s="464" t="s">
        <v>433</v>
      </c>
      <c r="E18" s="464" t="s">
        <v>325</v>
      </c>
      <c r="F18" s="464" t="s">
        <v>435</v>
      </c>
      <c r="G18" s="465"/>
    </row>
    <row r="19" spans="2:7" s="504" customFormat="1" ht="30" customHeight="1">
      <c r="B19" s="466" t="s">
        <v>283</v>
      </c>
      <c r="C19" s="23"/>
      <c r="D19" s="467">
        <v>1.2</v>
      </c>
      <c r="E19" s="468">
        <f t="shared" si="2"/>
        <v>1.2</v>
      </c>
      <c r="F19" s="469">
        <f t="shared" si="3"/>
        <v>0.10679999999999999</v>
      </c>
      <c r="G19" s="503"/>
    </row>
    <row r="20" spans="2:7" ht="30" customHeight="1">
      <c r="B20" s="473" t="s">
        <v>284</v>
      </c>
      <c r="C20" s="474"/>
      <c r="D20" s="467">
        <v>3.6</v>
      </c>
      <c r="E20" s="475">
        <f t="shared" si="2"/>
        <v>3.6</v>
      </c>
      <c r="F20" s="476">
        <f t="shared" si="3"/>
        <v>0.32040000000000002</v>
      </c>
      <c r="G20" s="477"/>
    </row>
    <row r="21" spans="2:7" s="504" customFormat="1" ht="30" customHeight="1">
      <c r="B21" s="508"/>
      <c r="C21" s="508"/>
      <c r="D21" s="509"/>
      <c r="E21" s="508"/>
      <c r="F21" s="508"/>
      <c r="G21" s="510"/>
    </row>
    <row r="22" spans="2:7" ht="30" customHeight="1">
      <c r="B22" s="462" t="s">
        <v>195</v>
      </c>
      <c r="C22" s="463"/>
      <c r="D22" s="464" t="s">
        <v>433</v>
      </c>
      <c r="E22" s="464" t="s">
        <v>325</v>
      </c>
      <c r="F22" s="464" t="s">
        <v>435</v>
      </c>
      <c r="G22" s="465"/>
    </row>
    <row r="23" spans="2:7" ht="30" customHeight="1">
      <c r="B23" s="466" t="s">
        <v>448</v>
      </c>
      <c r="C23" s="23"/>
      <c r="D23" s="467">
        <v>2.4500000000000002</v>
      </c>
      <c r="E23" s="468">
        <f t="shared" si="2"/>
        <v>2.4500000000000002</v>
      </c>
      <c r="F23" s="469">
        <f t="shared" si="3"/>
        <v>0.21804999999999999</v>
      </c>
      <c r="G23" s="503"/>
    </row>
    <row r="24" spans="2:7" ht="30" customHeight="1">
      <c r="B24" s="473" t="s">
        <v>449</v>
      </c>
      <c r="C24" s="474"/>
      <c r="D24" s="511">
        <v>5500</v>
      </c>
      <c r="E24" s="475">
        <f t="shared" si="2"/>
        <v>5500</v>
      </c>
      <c r="F24" s="476">
        <f t="shared" si="3"/>
        <v>489.5</v>
      </c>
      <c r="G24" s="477"/>
    </row>
    <row r="25" spans="2:7" ht="30" customHeight="1">
      <c r="B25" s="466" t="s">
        <v>450</v>
      </c>
      <c r="C25" s="23"/>
      <c r="D25" s="467">
        <v>9500</v>
      </c>
      <c r="E25" s="468">
        <f t="shared" si="2"/>
        <v>9500</v>
      </c>
      <c r="F25" s="469">
        <f t="shared" si="3"/>
        <v>845.5</v>
      </c>
      <c r="G25" s="503"/>
    </row>
    <row r="26" spans="2:7" ht="30" customHeight="1">
      <c r="B26" s="473" t="s">
        <v>451</v>
      </c>
      <c r="C26" s="474"/>
      <c r="D26" s="511">
        <v>1.75</v>
      </c>
      <c r="E26" s="475">
        <f t="shared" si="2"/>
        <v>1.75</v>
      </c>
      <c r="F26" s="476">
        <f t="shared" si="3"/>
        <v>0.15575</v>
      </c>
      <c r="G26" s="477"/>
    </row>
    <row r="27" spans="2:7" ht="30" customHeight="1">
      <c r="B27" s="466" t="s">
        <v>452</v>
      </c>
      <c r="C27" s="23"/>
      <c r="D27" s="467">
        <v>0.92</v>
      </c>
      <c r="E27" s="468">
        <f t="shared" si="2"/>
        <v>0.92</v>
      </c>
      <c r="F27" s="469">
        <f t="shared" si="3"/>
        <v>8.1879999999999994E-2</v>
      </c>
      <c r="G27" s="503"/>
    </row>
    <row r="28" spans="2:7" ht="30" customHeight="1">
      <c r="B28" s="512"/>
      <c r="C28" s="512"/>
      <c r="D28" s="512"/>
      <c r="E28" s="512"/>
      <c r="F28" s="512"/>
      <c r="G28" s="513"/>
    </row>
    <row r="29" spans="2:7" ht="30" customHeight="1">
      <c r="B29" s="462" t="s">
        <v>194</v>
      </c>
      <c r="C29" s="463"/>
      <c r="D29" s="464" t="s">
        <v>433</v>
      </c>
      <c r="E29" s="464" t="s">
        <v>325</v>
      </c>
      <c r="F29" s="464" t="s">
        <v>435</v>
      </c>
      <c r="G29" s="465"/>
    </row>
    <row r="30" spans="2:7" ht="30" customHeight="1">
      <c r="B30" s="466" t="s">
        <v>453</v>
      </c>
      <c r="C30" s="23"/>
      <c r="D30" s="514">
        <v>500</v>
      </c>
      <c r="E30" s="468">
        <f t="shared" si="2"/>
        <v>500</v>
      </c>
      <c r="F30" s="469">
        <f t="shared" si="3"/>
        <v>44.5</v>
      </c>
      <c r="G30" s="503"/>
    </row>
    <row r="31" spans="2:7" ht="30" customHeight="1">
      <c r="B31" s="515" t="s">
        <v>454</v>
      </c>
      <c r="C31" s="474"/>
      <c r="D31" s="514">
        <v>500</v>
      </c>
      <c r="E31" s="475">
        <f t="shared" si="2"/>
        <v>500</v>
      </c>
      <c r="F31" s="476">
        <f t="shared" si="3"/>
        <v>44.5</v>
      </c>
      <c r="G31" s="477"/>
    </row>
    <row r="32" spans="2:7" ht="30" customHeight="1">
      <c r="B32" s="466" t="s">
        <v>455</v>
      </c>
      <c r="C32" s="23"/>
      <c r="D32" s="514">
        <v>500</v>
      </c>
      <c r="E32" s="468">
        <f t="shared" si="2"/>
        <v>500</v>
      </c>
      <c r="F32" s="469">
        <f t="shared" si="3"/>
        <v>44.5</v>
      </c>
      <c r="G32" s="503"/>
    </row>
    <row r="33" spans="2:7" ht="30" customHeight="1">
      <c r="B33" s="515" t="s">
        <v>456</v>
      </c>
      <c r="C33" s="474"/>
      <c r="D33" s="514">
        <v>500</v>
      </c>
      <c r="E33" s="475">
        <f t="shared" si="2"/>
        <v>500</v>
      </c>
      <c r="F33" s="476">
        <f t="shared" si="3"/>
        <v>44.5</v>
      </c>
      <c r="G33" s="477"/>
    </row>
    <row r="34" spans="2:7" ht="30" customHeight="1">
      <c r="B34" s="466" t="s">
        <v>457</v>
      </c>
      <c r="C34" s="23"/>
      <c r="D34" s="514" t="s">
        <v>458</v>
      </c>
      <c r="E34" s="516" t="str">
        <f>D34</f>
        <v>Be om offert</v>
      </c>
      <c r="F34" s="517" t="s">
        <v>416</v>
      </c>
      <c r="G34" s="503"/>
    </row>
    <row r="35" spans="2:7" ht="30" customHeight="1">
      <c r="B35" s="515" t="s">
        <v>459</v>
      </c>
      <c r="C35" s="474"/>
      <c r="D35" s="514">
        <v>350</v>
      </c>
      <c r="E35" s="475">
        <f t="shared" ref="E35:E38" si="4">D35*SEK</f>
        <v>350</v>
      </c>
      <c r="F35" s="476">
        <f t="shared" si="3"/>
        <v>31.15</v>
      </c>
      <c r="G35" s="477"/>
    </row>
    <row r="36" spans="2:7" ht="30" customHeight="1">
      <c r="B36" s="466" t="s">
        <v>460</v>
      </c>
      <c r="C36" s="23"/>
      <c r="D36" s="514">
        <v>270</v>
      </c>
      <c r="E36" s="468">
        <f t="shared" si="4"/>
        <v>270</v>
      </c>
      <c r="F36" s="469">
        <f t="shared" si="3"/>
        <v>24.029999999999998</v>
      </c>
      <c r="G36" s="503"/>
    </row>
    <row r="37" spans="2:7" ht="30" customHeight="1">
      <c r="B37" s="515" t="s">
        <v>461</v>
      </c>
      <c r="C37" s="474"/>
      <c r="D37" s="514">
        <v>200</v>
      </c>
      <c r="E37" s="475">
        <f t="shared" si="4"/>
        <v>200</v>
      </c>
      <c r="F37" s="476">
        <f t="shared" si="3"/>
        <v>17.8</v>
      </c>
      <c r="G37" s="477"/>
    </row>
    <row r="38" spans="2:7" ht="30" customHeight="1">
      <c r="B38" s="466" t="s">
        <v>462</v>
      </c>
      <c r="C38" s="23"/>
      <c r="D38" s="514">
        <v>185</v>
      </c>
      <c r="E38" s="468">
        <f t="shared" si="4"/>
        <v>185</v>
      </c>
      <c r="F38" s="469">
        <f t="shared" si="3"/>
        <v>16.465</v>
      </c>
      <c r="G38" s="503"/>
    </row>
    <row r="39" spans="2:7" ht="30" customHeight="1">
      <c r="B39" s="515" t="s">
        <v>463</v>
      </c>
      <c r="C39" s="474"/>
      <c r="D39" s="514" t="s">
        <v>458</v>
      </c>
      <c r="E39" s="518" t="str">
        <f>D39</f>
        <v>Be om offert</v>
      </c>
      <c r="F39" s="519" t="s">
        <v>416</v>
      </c>
      <c r="G39" s="477"/>
    </row>
    <row r="40" spans="2:7" ht="30" customHeight="1">
      <c r="B40" s="512"/>
      <c r="C40" s="512"/>
      <c r="D40" s="512"/>
      <c r="E40" s="512"/>
      <c r="F40" s="512"/>
      <c r="G40" s="513"/>
    </row>
    <row r="41" spans="2:7" ht="30" customHeight="1">
      <c r="B41" s="462" t="s">
        <v>117</v>
      </c>
      <c r="C41" s="463"/>
      <c r="D41" s="464" t="s">
        <v>433</v>
      </c>
      <c r="E41" s="464" t="s">
        <v>325</v>
      </c>
      <c r="F41" s="464" t="s">
        <v>435</v>
      </c>
      <c r="G41" s="465"/>
    </row>
    <row r="42" spans="2:7" ht="30" customHeight="1">
      <c r="B42" s="466" t="s">
        <v>288</v>
      </c>
      <c r="C42" s="23"/>
      <c r="D42" s="467">
        <v>25</v>
      </c>
      <c r="E42" s="468">
        <f t="shared" ref="E42:E47" si="5">D42*SEK</f>
        <v>25</v>
      </c>
      <c r="F42" s="469">
        <f t="shared" si="3"/>
        <v>2.2250000000000001</v>
      </c>
      <c r="G42" s="503"/>
    </row>
    <row r="43" spans="2:7" ht="30" customHeight="1">
      <c r="B43" s="473" t="s">
        <v>289</v>
      </c>
      <c r="C43" s="474"/>
      <c r="D43" s="467">
        <v>0</v>
      </c>
      <c r="E43" s="475">
        <f t="shared" si="5"/>
        <v>0</v>
      </c>
      <c r="F43" s="476">
        <f t="shared" si="3"/>
        <v>0</v>
      </c>
      <c r="G43" s="477"/>
    </row>
    <row r="44" spans="2:7" ht="30" customHeight="1">
      <c r="B44" s="466" t="s">
        <v>290</v>
      </c>
      <c r="C44" s="23"/>
      <c r="D44" s="520">
        <v>0</v>
      </c>
      <c r="E44" s="468">
        <f t="shared" si="5"/>
        <v>0</v>
      </c>
      <c r="F44" s="469">
        <f t="shared" si="3"/>
        <v>0</v>
      </c>
      <c r="G44" s="503"/>
    </row>
    <row r="45" spans="2:7" ht="30" customHeight="1">
      <c r="B45" s="473" t="s">
        <v>292</v>
      </c>
      <c r="C45" s="474"/>
      <c r="D45" s="467">
        <v>0</v>
      </c>
      <c r="E45" s="475">
        <f t="shared" si="5"/>
        <v>0</v>
      </c>
      <c r="F45" s="476">
        <f t="shared" si="3"/>
        <v>0</v>
      </c>
      <c r="G45" s="477"/>
    </row>
    <row r="46" spans="2:7" ht="30" customHeight="1">
      <c r="B46" s="466" t="s">
        <v>293</v>
      </c>
      <c r="C46" s="23"/>
      <c r="D46" s="467">
        <v>2100</v>
      </c>
      <c r="E46" s="516">
        <f>D46</f>
        <v>2100</v>
      </c>
      <c r="F46" s="517">
        <v>186</v>
      </c>
      <c r="G46" s="503"/>
    </row>
    <row r="47" spans="2:7" ht="30" customHeight="1">
      <c r="B47" s="473" t="s">
        <v>295</v>
      </c>
      <c r="C47" s="474"/>
      <c r="D47" s="467">
        <v>0</v>
      </c>
      <c r="E47" s="475">
        <f t="shared" si="5"/>
        <v>0</v>
      </c>
      <c r="F47" s="476">
        <f t="shared" si="3"/>
        <v>0</v>
      </c>
      <c r="G47" s="477"/>
    </row>
    <row r="48" spans="2:7" ht="30" customHeight="1">
      <c r="B48" s="466" t="s">
        <v>464</v>
      </c>
      <c r="C48" s="23"/>
      <c r="D48" s="467" t="s">
        <v>149</v>
      </c>
      <c r="E48" s="516" t="str">
        <f>D48</f>
        <v>Begär offert</v>
      </c>
      <c r="F48" s="521" t="s">
        <v>416</v>
      </c>
      <c r="G48" s="516"/>
    </row>
    <row r="49" spans="2:7" ht="30" customHeight="1">
      <c r="B49" s="473" t="s">
        <v>296</v>
      </c>
      <c r="C49" s="474"/>
      <c r="D49" s="511">
        <v>0</v>
      </c>
      <c r="E49" s="475">
        <f t="shared" ref="E49:E76" si="6">D49*SEK</f>
        <v>0</v>
      </c>
      <c r="F49" s="476">
        <f t="shared" si="3"/>
        <v>0</v>
      </c>
      <c r="G49" s="477"/>
    </row>
    <row r="50" spans="2:7" ht="30" customHeight="1">
      <c r="B50" s="508"/>
      <c r="C50" s="508"/>
      <c r="D50" s="509"/>
      <c r="E50" s="508"/>
      <c r="F50" s="508"/>
      <c r="G50" s="510"/>
    </row>
    <row r="51" spans="2:7" ht="30" customHeight="1">
      <c r="B51" s="462" t="s">
        <v>465</v>
      </c>
      <c r="C51" s="463"/>
      <c r="D51" s="464" t="s">
        <v>433</v>
      </c>
      <c r="E51" s="464" t="s">
        <v>325</v>
      </c>
      <c r="F51" s="464" t="s">
        <v>435</v>
      </c>
      <c r="G51" s="465"/>
    </row>
    <row r="52" spans="2:7" ht="30" customHeight="1">
      <c r="B52" s="466" t="s">
        <v>466</v>
      </c>
      <c r="C52" s="23"/>
      <c r="D52" s="467">
        <v>175</v>
      </c>
      <c r="E52" s="468">
        <f t="shared" si="6"/>
        <v>175</v>
      </c>
      <c r="F52" s="469">
        <f t="shared" si="3"/>
        <v>15.574999999999999</v>
      </c>
      <c r="G52" s="503"/>
    </row>
    <row r="53" spans="2:7" ht="30" customHeight="1">
      <c r="B53" s="473" t="s">
        <v>297</v>
      </c>
      <c r="C53" s="474"/>
      <c r="D53" s="467">
        <v>1229</v>
      </c>
      <c r="E53" s="475">
        <f t="shared" si="6"/>
        <v>1229</v>
      </c>
      <c r="F53" s="476">
        <f t="shared" si="3"/>
        <v>109.381</v>
      </c>
      <c r="G53" s="477"/>
    </row>
    <row r="54" spans="2:7" ht="30" customHeight="1">
      <c r="B54" s="466" t="s">
        <v>467</v>
      </c>
      <c r="C54" s="23"/>
      <c r="D54" s="467">
        <v>4766</v>
      </c>
      <c r="E54" s="468">
        <f t="shared" si="6"/>
        <v>4766</v>
      </c>
      <c r="F54" s="469">
        <f t="shared" si="3"/>
        <v>424.17399999999998</v>
      </c>
      <c r="G54" s="503"/>
    </row>
    <row r="55" spans="2:7" ht="30" customHeight="1">
      <c r="B55" s="473" t="s">
        <v>298</v>
      </c>
      <c r="C55" s="474"/>
      <c r="D55" s="467"/>
      <c r="E55" s="475" t="s">
        <v>149</v>
      </c>
      <c r="F55" s="476" t="s">
        <v>416</v>
      </c>
      <c r="G55" s="477"/>
    </row>
    <row r="56" spans="2:7" ht="30" customHeight="1">
      <c r="B56" s="466" t="s">
        <v>299</v>
      </c>
      <c r="C56" s="23"/>
      <c r="D56" s="467">
        <v>70</v>
      </c>
      <c r="E56" s="468">
        <f>D56</f>
        <v>70</v>
      </c>
      <c r="F56" s="469">
        <v>6</v>
      </c>
      <c r="G56" s="503"/>
    </row>
    <row r="57" spans="2:7" ht="30" customHeight="1">
      <c r="B57" s="473" t="s">
        <v>468</v>
      </c>
      <c r="C57" s="474"/>
      <c r="D57" s="467"/>
      <c r="E57" s="475" t="s">
        <v>149</v>
      </c>
      <c r="F57" s="476" t="s">
        <v>416</v>
      </c>
      <c r="G57" s="477"/>
    </row>
    <row r="58" spans="2:7" ht="30" customHeight="1">
      <c r="B58" s="466" t="s">
        <v>300</v>
      </c>
      <c r="C58" s="23"/>
      <c r="D58" s="467"/>
      <c r="E58" s="468" t="s">
        <v>469</v>
      </c>
      <c r="F58" s="469" t="s">
        <v>470</v>
      </c>
      <c r="G58" s="503"/>
    </row>
    <row r="59" spans="2:7" ht="30" customHeight="1">
      <c r="B59" s="473" t="s">
        <v>301</v>
      </c>
      <c r="C59" s="474"/>
      <c r="D59" s="467">
        <v>400</v>
      </c>
      <c r="E59" s="475">
        <f t="shared" si="6"/>
        <v>400</v>
      </c>
      <c r="F59" s="476">
        <f t="shared" si="3"/>
        <v>35.6</v>
      </c>
      <c r="G59" s="477"/>
    </row>
    <row r="60" spans="2:7" ht="30" customHeight="1">
      <c r="B60" s="508"/>
      <c r="C60" s="508"/>
      <c r="D60" s="509"/>
      <c r="E60" s="508"/>
      <c r="F60" s="508"/>
      <c r="G60" s="510"/>
    </row>
    <row r="61" spans="2:7" ht="30" customHeight="1">
      <c r="B61" s="462" t="s">
        <v>148</v>
      </c>
      <c r="C61" s="463"/>
      <c r="D61" s="464" t="s">
        <v>433</v>
      </c>
      <c r="E61" s="464" t="s">
        <v>325</v>
      </c>
      <c r="F61" s="464" t="s">
        <v>435</v>
      </c>
      <c r="G61" s="465"/>
    </row>
    <row r="62" spans="2:7" ht="30" customHeight="1">
      <c r="B62" s="466" t="s">
        <v>302</v>
      </c>
      <c r="C62" s="23"/>
      <c r="D62" s="467" t="s">
        <v>471</v>
      </c>
      <c r="E62" s="516" t="s">
        <v>149</v>
      </c>
      <c r="F62" s="521" t="s">
        <v>416</v>
      </c>
      <c r="G62" s="503"/>
    </row>
    <row r="63" spans="2:7" ht="30" customHeight="1">
      <c r="B63" s="473" t="s">
        <v>303</v>
      </c>
      <c r="C63" s="474"/>
      <c r="D63" s="467" t="s">
        <v>471</v>
      </c>
      <c r="E63" s="518" t="s">
        <v>149</v>
      </c>
      <c r="F63" s="519" t="s">
        <v>416</v>
      </c>
      <c r="G63" s="477"/>
    </row>
    <row r="64" spans="2:7" ht="30" customHeight="1">
      <c r="B64" s="466" t="s">
        <v>304</v>
      </c>
      <c r="C64" s="23"/>
      <c r="D64" s="467"/>
      <c r="E64" s="516" t="s">
        <v>149</v>
      </c>
      <c r="F64" s="521" t="s">
        <v>416</v>
      </c>
      <c r="G64" s="503"/>
    </row>
    <row r="65" spans="2:7" ht="30" customHeight="1">
      <c r="B65" s="473" t="s">
        <v>305</v>
      </c>
      <c r="C65" s="474"/>
      <c r="D65" s="467"/>
      <c r="E65" s="518" t="s">
        <v>149</v>
      </c>
      <c r="F65" s="522" t="s">
        <v>416</v>
      </c>
      <c r="G65" s="477"/>
    </row>
    <row r="66" spans="2:7" ht="30" customHeight="1">
      <c r="B66" s="466" t="s">
        <v>306</v>
      </c>
      <c r="C66" s="23"/>
      <c r="D66" s="467"/>
      <c r="E66" s="516" t="s">
        <v>149</v>
      </c>
      <c r="F66" s="521" t="s">
        <v>416</v>
      </c>
      <c r="G66" s="503"/>
    </row>
    <row r="67" spans="2:7" ht="30" customHeight="1">
      <c r="B67" s="473" t="s">
        <v>307</v>
      </c>
      <c r="C67" s="474"/>
      <c r="D67" s="467"/>
      <c r="E67" s="518" t="s">
        <v>149</v>
      </c>
      <c r="F67" s="522" t="s">
        <v>416</v>
      </c>
      <c r="G67" s="477"/>
    </row>
    <row r="68" spans="2:7" ht="30" customHeight="1">
      <c r="B68" s="466" t="s">
        <v>472</v>
      </c>
      <c r="C68" s="23"/>
      <c r="D68" s="467">
        <v>0</v>
      </c>
      <c r="E68" s="516" t="s">
        <v>149</v>
      </c>
      <c r="F68" s="521" t="s">
        <v>416</v>
      </c>
      <c r="G68" s="503"/>
    </row>
    <row r="69" spans="2:7" ht="30" customHeight="1">
      <c r="B69" s="508"/>
      <c r="C69" s="508"/>
      <c r="D69" s="509"/>
      <c r="E69" s="508"/>
      <c r="F69" s="508"/>
      <c r="G69" s="510"/>
    </row>
    <row r="70" spans="2:7" ht="30" customHeight="1">
      <c r="B70" s="462" t="s">
        <v>162</v>
      </c>
      <c r="C70" s="463"/>
      <c r="D70" s="464" t="s">
        <v>433</v>
      </c>
      <c r="E70" s="464" t="s">
        <v>325</v>
      </c>
      <c r="F70" s="464" t="s">
        <v>435</v>
      </c>
      <c r="G70" s="465"/>
    </row>
    <row r="71" spans="2:7" ht="30" customHeight="1">
      <c r="B71" s="466" t="s">
        <v>311</v>
      </c>
      <c r="C71" s="23"/>
      <c r="D71" s="467">
        <v>1127</v>
      </c>
      <c r="E71" s="523">
        <f t="shared" si="6"/>
        <v>1127</v>
      </c>
      <c r="F71" s="524">
        <f t="shared" si="3"/>
        <v>100.303</v>
      </c>
      <c r="G71" s="503"/>
    </row>
    <row r="72" spans="2:7" ht="30" customHeight="1">
      <c r="B72" s="473" t="s">
        <v>312</v>
      </c>
      <c r="C72" s="474"/>
      <c r="D72" s="467">
        <v>1374</v>
      </c>
      <c r="E72" s="475">
        <f t="shared" si="6"/>
        <v>1374</v>
      </c>
      <c r="F72" s="525">
        <f t="shared" si="3"/>
        <v>122.28599999999999</v>
      </c>
      <c r="G72" s="477"/>
    </row>
    <row r="73" spans="2:7" ht="30" customHeight="1">
      <c r="B73" s="466" t="s">
        <v>313</v>
      </c>
      <c r="C73" s="23"/>
      <c r="D73" s="467">
        <v>1277</v>
      </c>
      <c r="E73" s="468">
        <f t="shared" si="6"/>
        <v>1277</v>
      </c>
      <c r="F73" s="526">
        <f t="shared" si="3"/>
        <v>113.65299999999999</v>
      </c>
      <c r="G73" s="503"/>
    </row>
    <row r="74" spans="2:7" ht="30" customHeight="1">
      <c r="B74" s="473" t="s">
        <v>314</v>
      </c>
      <c r="C74" s="474"/>
      <c r="D74" s="467">
        <v>1374</v>
      </c>
      <c r="E74" s="475">
        <f t="shared" si="6"/>
        <v>1374</v>
      </c>
      <c r="F74" s="525">
        <f t="shared" si="3"/>
        <v>122.28599999999999</v>
      </c>
      <c r="G74" s="477"/>
    </row>
    <row r="75" spans="2:7" ht="30" customHeight="1">
      <c r="B75" s="466" t="s">
        <v>315</v>
      </c>
      <c r="C75" s="23"/>
      <c r="D75" s="467">
        <v>1139</v>
      </c>
      <c r="E75" s="468">
        <f t="shared" si="6"/>
        <v>1139</v>
      </c>
      <c r="F75" s="526">
        <f t="shared" si="3"/>
        <v>101.371</v>
      </c>
      <c r="G75" s="503"/>
    </row>
    <row r="76" spans="2:7" ht="30" customHeight="1">
      <c r="B76" s="473" t="s">
        <v>316</v>
      </c>
      <c r="C76" s="474"/>
      <c r="D76" s="467">
        <v>1374</v>
      </c>
      <c r="E76" s="475">
        <f t="shared" si="6"/>
        <v>1374</v>
      </c>
      <c r="F76" s="525">
        <f t="shared" si="3"/>
        <v>122.28599999999999</v>
      </c>
      <c r="G76" s="477"/>
    </row>
  </sheetData>
  <conditionalFormatting sqref="D3:D11">
    <cfRule type="cellIs" dxfId="9" priority="4" operator="greaterThan">
      <formula>0</formula>
    </cfRule>
  </conditionalFormatting>
  <conditionalFormatting sqref="D15">
    <cfRule type="cellIs" dxfId="8" priority="20" operator="greaterThan">
      <formula>0</formula>
    </cfRule>
  </conditionalFormatting>
  <conditionalFormatting sqref="D19:D20">
    <cfRule type="cellIs" dxfId="7" priority="29" operator="greaterThan">
      <formula>0</formula>
    </cfRule>
  </conditionalFormatting>
  <conditionalFormatting sqref="D23:D27">
    <cfRule type="cellIs" dxfId="6" priority="13" operator="greaterThan">
      <formula>0</formula>
    </cfRule>
  </conditionalFormatting>
  <conditionalFormatting sqref="D30:D39">
    <cfRule type="cellIs" dxfId="5" priority="2" operator="greaterThan">
      <formula>0</formula>
    </cfRule>
  </conditionalFormatting>
  <conditionalFormatting sqref="D42:D49">
    <cfRule type="cellIs" dxfId="4" priority="39" operator="greaterThan">
      <formula>0</formula>
    </cfRule>
  </conditionalFormatting>
  <conditionalFormatting sqref="D52:D59">
    <cfRule type="cellIs" dxfId="3" priority="25" operator="greaterThan">
      <formula>0</formula>
    </cfRule>
  </conditionalFormatting>
  <conditionalFormatting sqref="D62:D68">
    <cfRule type="cellIs" dxfId="2" priority="1" operator="greaterThan">
      <formula>0</formula>
    </cfRule>
  </conditionalFormatting>
  <conditionalFormatting sqref="D71:D76">
    <cfRule type="cellIs" dxfId="1" priority="11" operator="greaterThan">
      <formula>0</formula>
    </cfRule>
  </conditionalFormatting>
  <conditionalFormatting sqref="J9:J10">
    <cfRule type="cellIs" dxfId="0" priority="42" operator="greaterThan">
      <formula>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167</vt:i4>
      </vt:variant>
    </vt:vector>
  </HeadingPairs>
  <TitlesOfParts>
    <vt:vector size="172" baseType="lpstr">
      <vt:lpstr>SEK - Safesprings tjänster 2024</vt:lpstr>
      <vt:lpstr>NOK - Safespring tjenester 2024</vt:lpstr>
      <vt:lpstr>DKK - Safespring-tjenester 2024</vt:lpstr>
      <vt:lpstr>EUR - Safespring services 2024</vt:lpstr>
      <vt:lpstr>Data</vt:lpstr>
      <vt:lpstr>'DKK - Safespring-tjenester 2024'!b2_list_Antal_instanser</vt:lpstr>
      <vt:lpstr>'EUR - Safespring services 2024'!b2_list_Antal_instanser</vt:lpstr>
      <vt:lpstr>'NOK - Safespring tjenester 2024'!b2_list_Antal_instanser</vt:lpstr>
      <vt:lpstr>b2_list_Antal_instanser</vt:lpstr>
      <vt:lpstr>'DKK - Safespring-tjenester 2024'!b2_list_ram</vt:lpstr>
      <vt:lpstr>'EUR - Safespring services 2024'!b2_list_ram</vt:lpstr>
      <vt:lpstr>'NOK - Safespring tjenester 2024'!b2_list_ram</vt:lpstr>
      <vt:lpstr>b2_list_ram</vt:lpstr>
      <vt:lpstr>'DKK - Safespring-tjenester 2024'!b2_list_vCPU</vt:lpstr>
      <vt:lpstr>'EUR - Safespring services 2024'!b2_list_vCPU</vt:lpstr>
      <vt:lpstr>'NOK - Safespring tjenester 2024'!b2_list_vCPU</vt:lpstr>
      <vt:lpstr>b2_list_vCPU</vt:lpstr>
      <vt:lpstr>BAAS_large_EUR</vt:lpstr>
      <vt:lpstr>BAAS_large_SEK</vt:lpstr>
      <vt:lpstr>BAAS_large.fee_EUR</vt:lpstr>
      <vt:lpstr>BAAS_large.fee_SEK</vt:lpstr>
      <vt:lpstr>BAAS_on.demand_EUR</vt:lpstr>
      <vt:lpstr>BAAS_on.demand_SEK</vt:lpstr>
      <vt:lpstr>BAAS_small_EUR</vt:lpstr>
      <vt:lpstr>BAAS_small_SEK</vt:lpstr>
      <vt:lpstr>BAAS_small.fee_EUR</vt:lpstr>
      <vt:lpstr>BAAS_small.fee_SEK</vt:lpstr>
      <vt:lpstr>EUR</vt:lpstr>
      <vt:lpstr>IAAS_gpu_EUR</vt:lpstr>
      <vt:lpstr>IAAS_gpu_SEK</vt:lpstr>
      <vt:lpstr>IAAS_gpu_SUNET</vt:lpstr>
      <vt:lpstr>IAAS_nvme_EUR</vt:lpstr>
      <vt:lpstr>IAAS_nvme_SEK</vt:lpstr>
      <vt:lpstr>IAAS_nvme_SUNET</vt:lpstr>
      <vt:lpstr>IAAS_pcpu_EUR</vt:lpstr>
      <vt:lpstr>IAAS_pcpu_SEK</vt:lpstr>
      <vt:lpstr>IAAS_pcpu_SUNET</vt:lpstr>
      <vt:lpstr>IAAS_ram_EUR</vt:lpstr>
      <vt:lpstr>IAAS_ram_SEK</vt:lpstr>
      <vt:lpstr>IAAS_ram_SUNET</vt:lpstr>
      <vt:lpstr>IAAS_ram_sunet_b_m</vt:lpstr>
      <vt:lpstr>IAAS_ssd_EUR</vt:lpstr>
      <vt:lpstr>IAAS_ssd_SEK</vt:lpstr>
      <vt:lpstr>IAAS_ssd_SUNET</vt:lpstr>
      <vt:lpstr>IAAS_vcpu_EUR</vt:lpstr>
      <vt:lpstr>IAAS_vcpu_SEK</vt:lpstr>
      <vt:lpstr>IAAS_vcpu_SUNET</vt:lpstr>
      <vt:lpstr>IAAS_vcpu_sunet_b_m</vt:lpstr>
      <vt:lpstr>INSTANCE_p1.2xlarge.16d_EUR</vt:lpstr>
      <vt:lpstr>INSTANCE_p1.2xlarge.16d_SEK</vt:lpstr>
      <vt:lpstr>INSTANCE_p1.4xlarge.16d_EUR</vt:lpstr>
      <vt:lpstr>INSTANCE_p1.4xlarge.16d_SEK</vt:lpstr>
      <vt:lpstr>INSTANCE_p1.8xlarge.32d_EUR</vt:lpstr>
      <vt:lpstr>INSTANCE_p1.8xlarge.32d_SEK</vt:lpstr>
      <vt:lpstr>NET_byoip_EUR</vt:lpstr>
      <vt:lpstr>NET_byoip_SEK</vt:lpstr>
      <vt:lpstr>NET_egress_EUR</vt:lpstr>
      <vt:lpstr>NET_egress_SEK</vt:lpstr>
      <vt:lpstr>NET_ingress_EUR</vt:lpstr>
      <vt:lpstr>NET_ingress_SEK</vt:lpstr>
      <vt:lpstr>NET_mgn.slb_EUR</vt:lpstr>
      <vt:lpstr>NET_mgn.slb_SEK</vt:lpstr>
      <vt:lpstr>NET_publicv4_EUR</vt:lpstr>
      <vt:lpstr>NET_publicv4_SEK</vt:lpstr>
      <vt:lpstr>NET_publicv6_EUR</vt:lpstr>
      <vt:lpstr>NET_publicv6_SEK</vt:lpstr>
      <vt:lpstr>NET_rdns_EUR</vt:lpstr>
      <vt:lpstr>NET_rdns_SEK</vt:lpstr>
      <vt:lpstr>NET_saferoute_EUR</vt:lpstr>
      <vt:lpstr>NET_saferoute_SEK</vt:lpstr>
      <vt:lpstr>NOK</vt:lpstr>
      <vt:lpstr>PAAS_man.elasticsearch_EUR</vt:lpstr>
      <vt:lpstr>PAAS_man.elasticsearch_SEK</vt:lpstr>
      <vt:lpstr>PAAS_man.kubernetes_EUR</vt:lpstr>
      <vt:lpstr>PAAS_man.kubernetes_SEK</vt:lpstr>
      <vt:lpstr>PAAS_man.kubernetes24_EUR</vt:lpstr>
      <vt:lpstr>PAAS_man.kubernetes24_SEK</vt:lpstr>
      <vt:lpstr>PAAS_man.kubernetes8_EUR</vt:lpstr>
      <vt:lpstr>PAAS_man.kubernetes8_SEK</vt:lpstr>
      <vt:lpstr>PAAS_man.mariadb_EUR</vt:lpstr>
      <vt:lpstr>PAAS_man.mariadb_SEK</vt:lpstr>
      <vt:lpstr>PAAS_man.nats_EUR</vt:lpstr>
      <vt:lpstr>PAAS_man.nats_SEK</vt:lpstr>
      <vt:lpstr>PAAS_man.postgres.sql_EUR</vt:lpstr>
      <vt:lpstr>PAAS_man.postgres.sql_SEK</vt:lpstr>
      <vt:lpstr>PAAS_man.redis_EUR</vt:lpstr>
      <vt:lpstr>PAAS_man.redis_SEK</vt:lpstr>
      <vt:lpstr>PAAS_openshift_EUR</vt:lpstr>
      <vt:lpstr>PAAS_openshift_SEK</vt:lpstr>
      <vt:lpstr>PS_cloudarch.jun_EUR</vt:lpstr>
      <vt:lpstr>PS_cloudarch.jun_SEK</vt:lpstr>
      <vt:lpstr>PS_cloudarch.sen_EUR</vt:lpstr>
      <vt:lpstr>PS_cloudarch.sen_SEK</vt:lpstr>
      <vt:lpstr>PS_consult.jun_EUR</vt:lpstr>
      <vt:lpstr>PS_consult.jun_SEK</vt:lpstr>
      <vt:lpstr>PS_consult.sen_EUR</vt:lpstr>
      <vt:lpstr>PS_consult.sen_SEK</vt:lpstr>
      <vt:lpstr>PS_pm.jun_EUR</vt:lpstr>
      <vt:lpstr>PS_pm.jun_SEK</vt:lpstr>
      <vt:lpstr>PS_pm.sen_EUR</vt:lpstr>
      <vt:lpstr>PS_pm.sen_SEK</vt:lpstr>
      <vt:lpstr>S3_archive.100_EUR</vt:lpstr>
      <vt:lpstr>S3_archive.100_SEK</vt:lpstr>
      <vt:lpstr>S3_archive.100_SUNET</vt:lpstr>
      <vt:lpstr>S3_archive.1000_EUR</vt:lpstr>
      <vt:lpstr>S3_archive.1000_SEK</vt:lpstr>
      <vt:lpstr>S3_archive.1000_SUNET</vt:lpstr>
      <vt:lpstr>S3_archive.50_EUR</vt:lpstr>
      <vt:lpstr>S3_archive.50_SEK</vt:lpstr>
      <vt:lpstr>S3_archive.50_SUNET</vt:lpstr>
      <vt:lpstr>S3_archive.500_EUR</vt:lpstr>
      <vt:lpstr>S3_archive.500_SEK</vt:lpstr>
      <vt:lpstr>S3_archive.500_SUNET</vt:lpstr>
      <vt:lpstr>S3_archive.quote_EUR</vt:lpstr>
      <vt:lpstr>S3_archive.quote_SEK</vt:lpstr>
      <vt:lpstr>S3_archive.quote_SUNET</vt:lpstr>
      <vt:lpstr>S3_archive100</vt:lpstr>
      <vt:lpstr>S3_storage.100_EUR</vt:lpstr>
      <vt:lpstr>S3_storage.100_SEK</vt:lpstr>
      <vt:lpstr>S3_storage.100_SUNET</vt:lpstr>
      <vt:lpstr>S3_storage.1000_EUR</vt:lpstr>
      <vt:lpstr>S3_storage.1000_SEK</vt:lpstr>
      <vt:lpstr>S3_storage.1000_SUNET</vt:lpstr>
      <vt:lpstr>S3_storage.50_EUR</vt:lpstr>
      <vt:lpstr>S3_storage.50_SEK</vt:lpstr>
      <vt:lpstr>S3_storage.50_SUNET</vt:lpstr>
      <vt:lpstr>S3_storage.500_EUR</vt:lpstr>
      <vt:lpstr>S3_storage.500_SEK</vt:lpstr>
      <vt:lpstr>S3_storage.500_SUNET</vt:lpstr>
      <vt:lpstr>S3_storage.quote_EUR</vt:lpstr>
      <vt:lpstr>S3_storage.quote_SEK</vt:lpstr>
      <vt:lpstr>S3_storage.quote_SUNET</vt:lpstr>
      <vt:lpstr>S3_storage100_EUR</vt:lpstr>
      <vt:lpstr>S3_storage100_SEK</vt:lpstr>
      <vt:lpstr>S3_storage1000_EUR</vt:lpstr>
      <vt:lpstr>S3_storage1000_SEK</vt:lpstr>
      <vt:lpstr>S3_storage50</vt:lpstr>
      <vt:lpstr>S3_storage50_EUR</vt:lpstr>
      <vt:lpstr>S3_storage50_SEK</vt:lpstr>
      <vt:lpstr>S3_storage500_EUR</vt:lpstr>
      <vt:lpstr>S3_storage500_SEK</vt:lpstr>
      <vt:lpstr>S3.archive.50</vt:lpstr>
      <vt:lpstr>Safespring.price.increase</vt:lpstr>
      <vt:lpstr>SEK</vt:lpstr>
      <vt:lpstr>sunet.price.increase</vt:lpstr>
      <vt:lpstr>SW_backup.ninja_EUR</vt:lpstr>
      <vt:lpstr>SW_backup.ninja_SEK</vt:lpstr>
      <vt:lpstr>SW_cluster.control_EUR</vt:lpstr>
      <vt:lpstr>SW_cluster.control_SEK</vt:lpstr>
      <vt:lpstr>SW_ms.sql.ser_EUR</vt:lpstr>
      <vt:lpstr>SW_ms.sql.ser_SEK</vt:lpstr>
      <vt:lpstr>SW_ms.sql.ser.ent_EUR</vt:lpstr>
      <vt:lpstr>SW_ms.sql.ser.ent_SEK</vt:lpstr>
      <vt:lpstr>SW_nextcloud_EUR</vt:lpstr>
      <vt:lpstr>SW_nextcloud_SEK</vt:lpstr>
      <vt:lpstr>SW_stackn_EUR</vt:lpstr>
      <vt:lpstr>SW_stackn_SEK</vt:lpstr>
      <vt:lpstr>SW_suse_EUR</vt:lpstr>
      <vt:lpstr>SW_suse_SEK</vt:lpstr>
      <vt:lpstr>SW_suse_SEUR</vt:lpstr>
      <vt:lpstr>SW_win.ser.201X_EUR</vt:lpstr>
      <vt:lpstr>SW_win.ser.201X_SEK</vt:lpstr>
      <vt:lpstr>'DKK - Safespring-tjenester 2024'!Utskriftsområde</vt:lpstr>
      <vt:lpstr>'EUR - Safespring services 2024'!Utskriftsområde</vt:lpstr>
      <vt:lpstr>'NOK - Safespring tjenester 2024'!Utskriftsområde</vt:lpstr>
      <vt:lpstr>'SEK - Safesprings tjänster 2024'!Utskriftsområde</vt:lpstr>
      <vt:lpstr>VOLUME_fast_EUR</vt:lpstr>
      <vt:lpstr>VOLUME_fast_SEK</vt:lpstr>
      <vt:lpstr>VOLUME_fast_SUNET</vt:lpstr>
      <vt:lpstr>VOLUME_large_EUR</vt:lpstr>
      <vt:lpstr>VOLUME_large_SEK</vt:lpstr>
      <vt:lpstr>VOLUME_large_SUNET</vt:lpstr>
    </vt:vector>
  </TitlesOfParts>
  <Manager>Fredric Wallsten</Manager>
  <Company>Safespring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Safesprings priser 2020</dc:title>
  <dc:subject>Priskalkyl</dc:subject>
  <dc:creator>Petter Hylin</dc:creator>
  <cp:keywords/>
  <dc:description/>
  <cp:lastModifiedBy>Marcus Boberg</cp:lastModifiedBy>
  <cp:revision>1</cp:revision>
  <dcterms:created xsi:type="dcterms:W3CDTF">2015-05-31T16:02:08Z</dcterms:created>
  <dcterms:modified xsi:type="dcterms:W3CDTF">2024-05-14T07:04:13Z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0x0101001C43B81DAFEB6E48968C393326E48C35</vt:lpwstr>
  </property>
</Properties>
</file>